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25" yWindow="-15" windowWidth="13620" windowHeight="13200"/>
  </bookViews>
  <sheets>
    <sheet name="Überblick" sheetId="3" r:id="rId1"/>
    <sheet name="ESF-Ausw" sheetId="1" r:id="rId2"/>
    <sheet name="PWE-Ausw" sheetId="4" r:id="rId3"/>
    <sheet name="Rohdaten" sheetId="5" r:id="rId4"/>
    <sheet name="Metadaten" sheetId="6" r:id="rId5"/>
  </sheets>
  <definedNames>
    <definedName name="_xlnm._FilterDatabase" localSheetId="3" hidden="1">Rohdaten!$A$1:$FB$6984</definedName>
  </definedNames>
  <calcPr calcId="145621"/>
</workbook>
</file>

<file path=xl/calcChain.xml><?xml version="1.0" encoding="utf-8"?>
<calcChain xmlns="http://schemas.openxmlformats.org/spreadsheetml/2006/main">
  <c r="A64" i="3" l="1"/>
  <c r="F305" i="4" l="1"/>
  <c r="F306" i="4"/>
  <c r="F307" i="4"/>
  <c r="F304" i="4"/>
  <c r="F11" i="4" l="1"/>
  <c r="F8" i="4"/>
  <c r="F9" i="4"/>
  <c r="F10" i="4"/>
  <c r="F7" i="4"/>
  <c r="F149" i="4"/>
  <c r="F317" i="4"/>
  <c r="A65" i="3" l="1"/>
  <c r="A316" i="3" l="1"/>
  <c r="A251" i="3"/>
  <c r="A247" i="3"/>
  <c r="A248" i="3"/>
  <c r="A246" i="3"/>
  <c r="A244" i="3"/>
  <c r="A241" i="3"/>
  <c r="A242" i="3"/>
  <c r="A240" i="3"/>
  <c r="A238" i="3"/>
  <c r="F52" i="4"/>
  <c r="F193" i="4"/>
  <c r="F194" i="4"/>
  <c r="F192" i="4"/>
  <c r="G194" i="4"/>
  <c r="G193" i="4"/>
  <c r="G192" i="4"/>
  <c r="F191" i="4"/>
  <c r="F187" i="4"/>
  <c r="F188" i="4"/>
  <c r="F189" i="4"/>
  <c r="F186" i="4"/>
  <c r="F185" i="4"/>
  <c r="F24" i="4"/>
  <c r="F195" i="4" l="1"/>
  <c r="B148" i="3"/>
  <c r="H191" i="4"/>
  <c r="G185" i="4"/>
  <c r="G191" i="4"/>
  <c r="A129" i="3"/>
  <c r="A131" i="3"/>
  <c r="A132" i="3"/>
  <c r="A133" i="3"/>
  <c r="A134" i="3"/>
  <c r="A122" i="3"/>
  <c r="A123" i="3"/>
  <c r="A124" i="3"/>
  <c r="A319" i="3"/>
  <c r="A320" i="3"/>
  <c r="A318" i="3"/>
  <c r="F356" i="4"/>
  <c r="B320" i="3" s="1"/>
  <c r="F355" i="4"/>
  <c r="B319" i="3" s="1"/>
  <c r="F354" i="4"/>
  <c r="B318" i="3" s="1"/>
  <c r="F353" i="4"/>
  <c r="H309" i="4"/>
  <c r="H312" i="4" s="1"/>
  <c r="H302" i="4"/>
  <c r="H304" i="4" s="1"/>
  <c r="G353" i="4" l="1"/>
  <c r="C318" i="3"/>
  <c r="C319" i="3"/>
  <c r="C320" i="3"/>
  <c r="B12" i="3"/>
  <c r="B15" i="3"/>
  <c r="B16" i="3"/>
  <c r="B17" i="3"/>
  <c r="B14" i="3"/>
  <c r="B13" i="3"/>
  <c r="A325" i="3"/>
  <c r="A326" i="3"/>
  <c r="A324" i="3"/>
  <c r="F350" i="4"/>
  <c r="B324" i="3" s="1"/>
  <c r="F351" i="4"/>
  <c r="B325" i="3" s="1"/>
  <c r="F352" i="4"/>
  <c r="B326" i="3" s="1"/>
  <c r="F349" i="4"/>
  <c r="A275" i="3"/>
  <c r="A273" i="3"/>
  <c r="A274" i="3"/>
  <c r="A272" i="3"/>
  <c r="A270" i="3"/>
  <c r="F348" i="4"/>
  <c r="B275" i="3" s="1"/>
  <c r="F346" i="4"/>
  <c r="B273" i="3" s="1"/>
  <c r="F347" i="4"/>
  <c r="B274" i="3" s="1"/>
  <c r="F345" i="4"/>
  <c r="B272" i="3" s="1"/>
  <c r="F344" i="4"/>
  <c r="A128" i="3"/>
  <c r="B249" i="3" l="1"/>
  <c r="H344" i="4"/>
  <c r="A271" i="3" s="1"/>
  <c r="C324" i="3"/>
  <c r="C326" i="3"/>
  <c r="C325" i="3"/>
  <c r="C273" i="3"/>
  <c r="G349" i="4"/>
  <c r="C272" i="3"/>
  <c r="C274" i="3"/>
  <c r="C275" i="3"/>
  <c r="G344" i="4"/>
  <c r="F340" i="4"/>
  <c r="F336" i="4"/>
  <c r="F342" i="4"/>
  <c r="F341" i="4"/>
  <c r="F338" i="4"/>
  <c r="F337" i="4"/>
  <c r="F320" i="4"/>
  <c r="F319" i="4"/>
  <c r="F318" i="4"/>
  <c r="F316" i="4"/>
  <c r="H353" i="4" s="1"/>
  <c r="A317" i="3" s="1"/>
  <c r="F334" i="4"/>
  <c r="F333" i="4"/>
  <c r="F332" i="4"/>
  <c r="F331" i="4"/>
  <c r="F330" i="4"/>
  <c r="F329" i="4"/>
  <c r="F328" i="4"/>
  <c r="F327" i="4"/>
  <c r="F326" i="4"/>
  <c r="F325" i="4"/>
  <c r="F324" i="4"/>
  <c r="F323" i="4"/>
  <c r="F322" i="4"/>
  <c r="F321" i="4"/>
  <c r="A194" i="3"/>
  <c r="A201" i="3"/>
  <c r="A200" i="3"/>
  <c r="A195" i="3"/>
  <c r="F177" i="4"/>
  <c r="F178" i="4"/>
  <c r="B200" i="3" s="1"/>
  <c r="G178" i="4"/>
  <c r="F179" i="4"/>
  <c r="B201" i="3" s="1"/>
  <c r="G179" i="4"/>
  <c r="F181" i="4"/>
  <c r="F182" i="4"/>
  <c r="B194" i="3" s="1"/>
  <c r="G182" i="4"/>
  <c r="F183" i="4"/>
  <c r="B195" i="3" s="1"/>
  <c r="G183" i="4"/>
  <c r="G181" i="4" l="1"/>
  <c r="H317" i="4"/>
  <c r="G336" i="4"/>
  <c r="G340" i="4"/>
  <c r="F335" i="4"/>
  <c r="G335" i="4" s="1"/>
  <c r="G177" i="4"/>
  <c r="F343" i="4"/>
  <c r="H340" i="4" s="1"/>
  <c r="F339" i="4"/>
  <c r="H336" i="4" s="1"/>
  <c r="F175" i="4"/>
  <c r="B247" i="3" s="1"/>
  <c r="F174" i="4"/>
  <c r="B246" i="3" s="1"/>
  <c r="F173" i="4"/>
  <c r="F171" i="4"/>
  <c r="B241" i="3" s="1"/>
  <c r="F170" i="4"/>
  <c r="B240" i="3" s="1"/>
  <c r="F169" i="4"/>
  <c r="F158" i="4"/>
  <c r="F159" i="4"/>
  <c r="F160" i="4"/>
  <c r="F161" i="4"/>
  <c r="F162" i="4"/>
  <c r="F152" i="4"/>
  <c r="F163" i="4"/>
  <c r="F164" i="4"/>
  <c r="F165" i="4"/>
  <c r="F166" i="4"/>
  <c r="F167" i="4"/>
  <c r="F153" i="4"/>
  <c r="F154" i="4"/>
  <c r="F155" i="4"/>
  <c r="F156" i="4"/>
  <c r="G317" i="4" l="1"/>
  <c r="G330" i="4"/>
  <c r="G319" i="4"/>
  <c r="G326" i="4"/>
  <c r="G333" i="4"/>
  <c r="G331" i="4"/>
  <c r="B317" i="4"/>
  <c r="G322" i="4"/>
  <c r="G325" i="4"/>
  <c r="G318" i="4"/>
  <c r="G324" i="4"/>
  <c r="G321" i="4"/>
  <c r="G327" i="4"/>
  <c r="G320" i="4"/>
  <c r="G329" i="4"/>
  <c r="G332" i="4"/>
  <c r="G323" i="4"/>
  <c r="G334" i="4"/>
  <c r="G328" i="4"/>
  <c r="F176" i="4"/>
  <c r="G173" i="4"/>
  <c r="F172" i="4"/>
  <c r="G169" i="4"/>
  <c r="H169" i="4" l="1"/>
  <c r="A239" i="3" s="1"/>
  <c r="B242" i="3"/>
  <c r="H173" i="4"/>
  <c r="A245" i="3" s="1"/>
  <c r="B248" i="3"/>
  <c r="A140" i="3"/>
  <c r="A141" i="3"/>
  <c r="A142" i="3"/>
  <c r="A143" i="3"/>
  <c r="A144" i="3"/>
  <c r="A146" i="3"/>
  <c r="A148" i="3"/>
  <c r="A149" i="3"/>
  <c r="A150" i="3"/>
  <c r="F157" i="4"/>
  <c r="F151" i="4"/>
  <c r="F150" i="4"/>
  <c r="F140" i="4"/>
  <c r="F139" i="4"/>
  <c r="F190" i="4" s="1"/>
  <c r="C248" i="3" l="1"/>
  <c r="C246" i="3"/>
  <c r="C247" i="3"/>
  <c r="C242" i="3"/>
  <c r="C240" i="3"/>
  <c r="C241" i="3"/>
  <c r="H185" i="4"/>
  <c r="H177" i="4"/>
  <c r="A193" i="3" s="1"/>
  <c r="A199" i="3" s="1"/>
  <c r="H181" i="4"/>
  <c r="B150" i="4"/>
  <c r="F184" i="4"/>
  <c r="B196" i="3" s="1"/>
  <c r="F180" i="4"/>
  <c r="B202" i="3" s="1"/>
  <c r="G151" i="4"/>
  <c r="G155" i="4"/>
  <c r="G160" i="4"/>
  <c r="G167" i="4"/>
  <c r="G162" i="4"/>
  <c r="G166" i="4"/>
  <c r="G163" i="4"/>
  <c r="G159" i="4"/>
  <c r="G165" i="4"/>
  <c r="G154" i="4"/>
  <c r="G158" i="4"/>
  <c r="G161" i="4"/>
  <c r="G164" i="4"/>
  <c r="G153" i="4"/>
  <c r="G156" i="4"/>
  <c r="G152" i="4"/>
  <c r="G157" i="4"/>
  <c r="G150" i="4"/>
  <c r="H141" i="4"/>
  <c r="A127" i="3" s="1"/>
  <c r="H150" i="4"/>
  <c r="F168" i="4"/>
  <c r="F315" i="4"/>
  <c r="F314" i="4"/>
  <c r="F313" i="4"/>
  <c r="F312" i="4"/>
  <c r="F311" i="4"/>
  <c r="F310" i="4"/>
  <c r="F309" i="4"/>
  <c r="F308" i="4"/>
  <c r="F303" i="4"/>
  <c r="F302" i="4"/>
  <c r="F301" i="4"/>
  <c r="F300" i="4"/>
  <c r="F299" i="4"/>
  <c r="F298" i="4"/>
  <c r="F297" i="4"/>
  <c r="F296" i="4"/>
  <c r="F295" i="4"/>
  <c r="F294" i="4"/>
  <c r="F293" i="4"/>
  <c r="F292" i="4"/>
  <c r="F291" i="4"/>
  <c r="F290" i="4"/>
  <c r="F289" i="4"/>
  <c r="F288" i="4"/>
  <c r="F287" i="4"/>
  <c r="F286" i="4"/>
  <c r="F285" i="4"/>
  <c r="F284" i="4"/>
  <c r="F283" i="4"/>
  <c r="F282" i="4"/>
  <c r="F281" i="4"/>
  <c r="F280" i="4"/>
  <c r="F279" i="4"/>
  <c r="F278" i="4"/>
  <c r="F277" i="4"/>
  <c r="F276" i="4"/>
  <c r="F275" i="4"/>
  <c r="F274" i="4"/>
  <c r="F273" i="4"/>
  <c r="F272" i="4"/>
  <c r="F271" i="4"/>
  <c r="F270" i="4"/>
  <c r="F269" i="4"/>
  <c r="F268" i="4"/>
  <c r="F267" i="4"/>
  <c r="F266" i="4"/>
  <c r="F265" i="4"/>
  <c r="F264" i="4"/>
  <c r="F263" i="4"/>
  <c r="F262" i="4"/>
  <c r="F261" i="4"/>
  <c r="F260" i="4"/>
  <c r="F259" i="4"/>
  <c r="F258" i="4"/>
  <c r="F257" i="4"/>
  <c r="F256" i="4"/>
  <c r="F255" i="4"/>
  <c r="F254" i="4"/>
  <c r="F253" i="4"/>
  <c r="F252" i="4"/>
  <c r="F251" i="4"/>
  <c r="F250" i="4"/>
  <c r="F249" i="4"/>
  <c r="F248" i="4"/>
  <c r="F247" i="4"/>
  <c r="F246" i="4"/>
  <c r="F245" i="4"/>
  <c r="F244" i="4"/>
  <c r="F243" i="4"/>
  <c r="F242" i="4"/>
  <c r="F241" i="4"/>
  <c r="F240" i="4"/>
  <c r="F239" i="4"/>
  <c r="F238" i="4"/>
  <c r="F237" i="4"/>
  <c r="F236" i="4"/>
  <c r="F235" i="4"/>
  <c r="F234" i="4"/>
  <c r="F233" i="4"/>
  <c r="F232" i="4"/>
  <c r="F231" i="4"/>
  <c r="F230" i="4"/>
  <c r="F229" i="4"/>
  <c r="F228" i="4"/>
  <c r="F227" i="4"/>
  <c r="F226" i="4"/>
  <c r="F225" i="4"/>
  <c r="F224" i="4"/>
  <c r="F223" i="4"/>
  <c r="F222" i="4"/>
  <c r="F221" i="4"/>
  <c r="F220" i="4"/>
  <c r="F219" i="4"/>
  <c r="F218" i="4"/>
  <c r="F217" i="4"/>
  <c r="F216" i="4"/>
  <c r="F215" i="4"/>
  <c r="F214" i="4"/>
  <c r="F213" i="4"/>
  <c r="F212" i="4"/>
  <c r="F211" i="4"/>
  <c r="F210" i="4"/>
  <c r="F209" i="4"/>
  <c r="F208" i="4"/>
  <c r="F207" i="4"/>
  <c r="F206" i="4"/>
  <c r="F205" i="4"/>
  <c r="F204" i="4"/>
  <c r="F203" i="4"/>
  <c r="F202" i="4"/>
  <c r="F201" i="4"/>
  <c r="F200" i="4"/>
  <c r="B260" i="3" s="1"/>
  <c r="C260" i="3" s="1"/>
  <c r="F199" i="4"/>
  <c r="F198" i="4"/>
  <c r="F197" i="4"/>
  <c r="F148" i="4"/>
  <c r="B134" i="3" s="1"/>
  <c r="F147" i="4"/>
  <c r="B133" i="3" s="1"/>
  <c r="F146" i="4"/>
  <c r="B132" i="3" s="1"/>
  <c r="F145" i="4"/>
  <c r="F143" i="4"/>
  <c r="B129" i="3" s="1"/>
  <c r="F142" i="4"/>
  <c r="B128" i="3" s="1"/>
  <c r="F141" i="4"/>
  <c r="F138" i="4"/>
  <c r="F137" i="4"/>
  <c r="F136" i="4"/>
  <c r="F135" i="4"/>
  <c r="F134" i="4"/>
  <c r="F133" i="4"/>
  <c r="F132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B150" i="3" s="1"/>
  <c r="F25" i="4"/>
  <c r="B149" i="3" s="1"/>
  <c r="F23" i="4"/>
  <c r="F22" i="4"/>
  <c r="B144" i="3" s="1"/>
  <c r="F21" i="4"/>
  <c r="B143" i="3" s="1"/>
  <c r="F20" i="4"/>
  <c r="B142" i="3" s="1"/>
  <c r="F19" i="4"/>
  <c r="B141" i="3" s="1"/>
  <c r="F18" i="4"/>
  <c r="F17" i="4"/>
  <c r="F16" i="4"/>
  <c r="F15" i="4"/>
  <c r="F14" i="4"/>
  <c r="F13" i="4"/>
  <c r="F12" i="4"/>
  <c r="B124" i="3"/>
  <c r="C124" i="3" s="1"/>
  <c r="B123" i="3"/>
  <c r="C123" i="3" s="1"/>
  <c r="B122" i="3"/>
  <c r="C122" i="3" s="1"/>
  <c r="F6" i="4"/>
  <c r="G6" i="4" s="1"/>
  <c r="F5" i="4"/>
  <c r="F4" i="4"/>
  <c r="F3" i="4"/>
  <c r="G145" i="4"/>
  <c r="G143" i="4"/>
  <c r="G142" i="4"/>
  <c r="C150" i="3" l="1"/>
  <c r="A147" i="3"/>
  <c r="C148" i="3"/>
  <c r="C149" i="3"/>
  <c r="H23" i="4"/>
  <c r="B131" i="3"/>
  <c r="C133" i="3" s="1"/>
  <c r="E144" i="4"/>
  <c r="A130" i="3" s="1"/>
  <c r="H349" i="4"/>
  <c r="A323" i="3" s="1"/>
  <c r="C202" i="3"/>
  <c r="C201" i="3"/>
  <c r="C200" i="3"/>
  <c r="C196" i="3"/>
  <c r="C195" i="3"/>
  <c r="C194" i="3"/>
  <c r="G141" i="4"/>
  <c r="B10" i="3"/>
  <c r="B9" i="3"/>
  <c r="A8" i="3"/>
  <c r="B7" i="3"/>
  <c r="B6" i="3"/>
  <c r="E157" i="1"/>
  <c r="E156" i="1"/>
  <c r="E155" i="1"/>
  <c r="B267" i="3" s="1"/>
  <c r="C267" i="3" s="1"/>
  <c r="E154" i="1"/>
  <c r="E153" i="1"/>
  <c r="E152" i="1"/>
  <c r="E151" i="1"/>
  <c r="E150" i="1"/>
  <c r="E149" i="1"/>
  <c r="B266" i="3" s="1"/>
  <c r="C266" i="3" s="1"/>
  <c r="E148" i="1"/>
  <c r="E147" i="1"/>
  <c r="E146" i="1"/>
  <c r="B265" i="3" s="1"/>
  <c r="C265" i="3" s="1"/>
  <c r="E145" i="1"/>
  <c r="E144" i="1"/>
  <c r="E143" i="1"/>
  <c r="B264" i="3" s="1"/>
  <c r="C264" i="3" s="1"/>
  <c r="E142" i="1"/>
  <c r="E141" i="1"/>
  <c r="E140" i="1"/>
  <c r="B263" i="3" s="1"/>
  <c r="C263" i="3" s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8" i="1"/>
  <c r="B258" i="3" s="1"/>
  <c r="C258" i="3" s="1"/>
  <c r="E97" i="1"/>
  <c r="E96" i="1"/>
  <c r="E95" i="1"/>
  <c r="B256" i="3" s="1"/>
  <c r="C256" i="3" s="1"/>
  <c r="E94" i="1"/>
  <c r="E93" i="1"/>
  <c r="E92" i="1"/>
  <c r="B257" i="3" s="1"/>
  <c r="C257" i="3" s="1"/>
  <c r="E91" i="1"/>
  <c r="E90" i="1"/>
  <c r="E89" i="1"/>
  <c r="B259" i="3" s="1"/>
  <c r="C259" i="3" s="1"/>
  <c r="E88" i="1"/>
  <c r="E87" i="1"/>
  <c r="E86" i="1"/>
  <c r="E85" i="1"/>
  <c r="E84" i="1"/>
  <c r="E81" i="1"/>
  <c r="E78" i="1"/>
  <c r="E79" i="1" s="1"/>
  <c r="E80" i="1" s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C131" i="3" l="1"/>
  <c r="C129" i="3"/>
  <c r="C132" i="3"/>
  <c r="C134" i="3"/>
  <c r="C128" i="3"/>
  <c r="C143" i="3"/>
  <c r="C144" i="3"/>
  <c r="C141" i="3"/>
  <c r="C142" i="3"/>
  <c r="A38" i="3"/>
  <c r="A39" i="3"/>
  <c r="E128" i="4"/>
  <c r="E129" i="4"/>
  <c r="E127" i="4"/>
  <c r="B43" i="3"/>
  <c r="B38" i="3"/>
  <c r="E130" i="4"/>
  <c r="A43" i="3" s="1"/>
  <c r="B39" i="3"/>
  <c r="G125" i="4" l="1"/>
  <c r="G133" i="4" l="1"/>
  <c r="H133" i="4" s="1"/>
  <c r="G130" i="4" l="1"/>
  <c r="G13" i="4" l="1"/>
  <c r="G14" i="4"/>
  <c r="A281" i="3"/>
  <c r="A370" i="3"/>
  <c r="A362" i="3"/>
  <c r="A358" i="3"/>
  <c r="A353" i="3"/>
  <c r="A348" i="3"/>
  <c r="A343" i="3"/>
  <c r="A336" i="3"/>
  <c r="A328" i="3"/>
  <c r="A322" i="3"/>
  <c r="A309" i="3"/>
  <c r="A303" i="3"/>
  <c r="A296" i="3"/>
  <c r="A290" i="3"/>
  <c r="A283" i="3"/>
  <c r="A367" i="3"/>
  <c r="A368" i="3"/>
  <c r="A371" i="3"/>
  <c r="A372" i="3"/>
  <c r="A349" i="3"/>
  <c r="A350" i="3"/>
  <c r="A351" i="3"/>
  <c r="A354" i="3"/>
  <c r="A355" i="3"/>
  <c r="A356" i="3"/>
  <c r="A359" i="3"/>
  <c r="A360" i="3"/>
  <c r="A363" i="3"/>
  <c r="A364" i="3"/>
  <c r="A365" i="3"/>
  <c r="A366" i="3"/>
  <c r="A332" i="3"/>
  <c r="A333" i="3"/>
  <c r="A334" i="3"/>
  <c r="A337" i="3"/>
  <c r="A338" i="3"/>
  <c r="A339" i="3"/>
  <c r="A340" i="3"/>
  <c r="A341" i="3"/>
  <c r="A344" i="3"/>
  <c r="A345" i="3"/>
  <c r="A346" i="3"/>
  <c r="A329" i="3"/>
  <c r="A330" i="3"/>
  <c r="A331" i="3"/>
  <c r="A292" i="3"/>
  <c r="A293" i="3"/>
  <c r="A294" i="3"/>
  <c r="A297" i="3"/>
  <c r="A298" i="3"/>
  <c r="A299" i="3"/>
  <c r="A300" i="3"/>
  <c r="A301" i="3"/>
  <c r="A304" i="3"/>
  <c r="A305" i="3"/>
  <c r="A306" i="3"/>
  <c r="A307" i="3"/>
  <c r="A310" i="3"/>
  <c r="A311" i="3"/>
  <c r="A312" i="3"/>
  <c r="A313" i="3"/>
  <c r="A314" i="3"/>
  <c r="A279" i="3"/>
  <c r="A280" i="3"/>
  <c r="A284" i="3"/>
  <c r="A285" i="3"/>
  <c r="A286" i="3"/>
  <c r="A287" i="3"/>
  <c r="A291" i="3"/>
  <c r="A278" i="3"/>
  <c r="A277" i="3"/>
  <c r="A183" i="3"/>
  <c r="A184" i="3"/>
  <c r="A185" i="3"/>
  <c r="A186" i="3"/>
  <c r="A187" i="3"/>
  <c r="A188" i="3"/>
  <c r="A178" i="3"/>
  <c r="A172" i="3"/>
  <c r="A164" i="3"/>
  <c r="A170" i="3"/>
  <c r="A173" i="3"/>
  <c r="A174" i="3"/>
  <c r="A175" i="3"/>
  <c r="A176" i="3"/>
  <c r="A179" i="3"/>
  <c r="A180" i="3"/>
  <c r="A181" i="3"/>
  <c r="A159" i="3"/>
  <c r="A160" i="3"/>
  <c r="A161" i="3"/>
  <c r="A162" i="3"/>
  <c r="A165" i="3"/>
  <c r="A166" i="3"/>
  <c r="A167" i="3"/>
  <c r="A168" i="3"/>
  <c r="A169" i="3"/>
  <c r="A157" i="3"/>
  <c r="A152" i="3"/>
  <c r="A153" i="3"/>
  <c r="A154" i="3"/>
  <c r="A155" i="3"/>
  <c r="A158" i="3"/>
  <c r="A138" i="3"/>
  <c r="A137" i="3"/>
  <c r="A136" i="3"/>
  <c r="A121" i="3"/>
  <c r="A119" i="3"/>
  <c r="A93" i="3"/>
  <c r="A94" i="3"/>
  <c r="A92" i="3"/>
  <c r="A91" i="3"/>
  <c r="A40" i="3"/>
  <c r="A41" i="3"/>
  <c r="A42" i="3"/>
  <c r="A37" i="3"/>
  <c r="B41" i="3"/>
  <c r="B42" i="3"/>
  <c r="G313" i="4"/>
  <c r="G314" i="4"/>
  <c r="G315" i="4"/>
  <c r="G126" i="4"/>
  <c r="G127" i="4"/>
  <c r="G128" i="4"/>
  <c r="G129" i="4"/>
  <c r="G12" i="4" l="1"/>
  <c r="B280" i="3"/>
  <c r="C280" i="3" s="1"/>
  <c r="B278" i="3"/>
  <c r="B314" i="3"/>
  <c r="C314" i="3" s="1"/>
  <c r="B313" i="3"/>
  <c r="C313" i="3" s="1"/>
  <c r="B312" i="3"/>
  <c r="C312" i="3" s="1"/>
  <c r="B311" i="3"/>
  <c r="C311" i="3" s="1"/>
  <c r="B310" i="3"/>
  <c r="C310" i="3" s="1"/>
  <c r="B307" i="3"/>
  <c r="C307" i="3" s="1"/>
  <c r="B306" i="3"/>
  <c r="C306" i="3" s="1"/>
  <c r="B305" i="3"/>
  <c r="C305" i="3" s="1"/>
  <c r="B304" i="3"/>
  <c r="C304" i="3" s="1"/>
  <c r="B301" i="3"/>
  <c r="C301" i="3" s="1"/>
  <c r="B300" i="3"/>
  <c r="C300" i="3" s="1"/>
  <c r="B299" i="3"/>
  <c r="C299" i="3" s="1"/>
  <c r="B298" i="3"/>
  <c r="C298" i="3" s="1"/>
  <c r="B297" i="3"/>
  <c r="C297" i="3" s="1"/>
  <c r="B294" i="3"/>
  <c r="C294" i="3" s="1"/>
  <c r="B293" i="3"/>
  <c r="C293" i="3" s="1"/>
  <c r="B292" i="3"/>
  <c r="C292" i="3" s="1"/>
  <c r="B291" i="3"/>
  <c r="C291" i="3" s="1"/>
  <c r="G202" i="4"/>
  <c r="G203" i="4"/>
  <c r="G204" i="4"/>
  <c r="G211" i="4"/>
  <c r="G212" i="4"/>
  <c r="G213" i="4"/>
  <c r="G214" i="4"/>
  <c r="G216" i="4"/>
  <c r="G217" i="4"/>
  <c r="G218" i="4"/>
  <c r="G219" i="4"/>
  <c r="G220" i="4"/>
  <c r="G222" i="4"/>
  <c r="G223" i="4"/>
  <c r="G224" i="4"/>
  <c r="G225" i="4"/>
  <c r="G227" i="4"/>
  <c r="G228" i="4"/>
  <c r="G229" i="4"/>
  <c r="G230" i="4"/>
  <c r="G231" i="4"/>
  <c r="G233" i="4"/>
  <c r="G234" i="4"/>
  <c r="G236" i="4"/>
  <c r="G237" i="4"/>
  <c r="G239" i="4"/>
  <c r="G240" i="4"/>
  <c r="G242" i="4"/>
  <c r="G243" i="4"/>
  <c r="G244" i="4"/>
  <c r="G246" i="4"/>
  <c r="G247" i="4"/>
  <c r="G248" i="4"/>
  <c r="G250" i="4"/>
  <c r="G251" i="4"/>
  <c r="G252" i="4"/>
  <c r="G253" i="4"/>
  <c r="G254" i="4"/>
  <c r="G255" i="4"/>
  <c r="G257" i="4"/>
  <c r="G258" i="4"/>
  <c r="G259" i="4"/>
  <c r="G260" i="4"/>
  <c r="G262" i="4"/>
  <c r="G263" i="4"/>
  <c r="G265" i="4"/>
  <c r="G266" i="4"/>
  <c r="G267" i="4"/>
  <c r="G268" i="4"/>
  <c r="G269" i="4"/>
  <c r="G270" i="4"/>
  <c r="G271" i="4"/>
  <c r="G272" i="4"/>
  <c r="G273" i="4"/>
  <c r="G274" i="4"/>
  <c r="G275" i="4"/>
  <c r="G276" i="4"/>
  <c r="G277" i="4"/>
  <c r="G278" i="4"/>
  <c r="G279" i="4"/>
  <c r="G280" i="4"/>
  <c r="G281" i="4"/>
  <c r="G282" i="4"/>
  <c r="G283" i="4"/>
  <c r="G284" i="4"/>
  <c r="G285" i="4"/>
  <c r="G287" i="4"/>
  <c r="G288" i="4"/>
  <c r="G290" i="4"/>
  <c r="G291" i="4"/>
  <c r="G293" i="4"/>
  <c r="G294" i="4"/>
  <c r="G296" i="4"/>
  <c r="G297" i="4"/>
  <c r="G298" i="4"/>
  <c r="G299" i="4"/>
  <c r="G300" i="4"/>
  <c r="G302" i="4"/>
  <c r="G303" i="4"/>
  <c r="G305" i="4"/>
  <c r="G306" i="4"/>
  <c r="G307" i="4"/>
  <c r="G309" i="4"/>
  <c r="G310" i="4"/>
  <c r="G311" i="4"/>
  <c r="G198" i="4"/>
  <c r="G200" i="4"/>
  <c r="G208" i="4"/>
  <c r="G209" i="4"/>
  <c r="B284" i="3"/>
  <c r="C284" i="3" s="1"/>
  <c r="B285" i="3"/>
  <c r="C285" i="3" s="1"/>
  <c r="B286" i="3"/>
  <c r="C286" i="3" s="1"/>
  <c r="B287" i="3"/>
  <c r="C287" i="3" s="1"/>
  <c r="B329" i="3"/>
  <c r="B330" i="3"/>
  <c r="C330" i="3" s="1"/>
  <c r="B331" i="3"/>
  <c r="C331" i="3" s="1"/>
  <c r="B332" i="3"/>
  <c r="C332" i="3" s="1"/>
  <c r="B333" i="3"/>
  <c r="C333" i="3" s="1"/>
  <c r="B334" i="3"/>
  <c r="C334" i="3" s="1"/>
  <c r="B337" i="3"/>
  <c r="C337" i="3" s="1"/>
  <c r="B338" i="3"/>
  <c r="C338" i="3" s="1"/>
  <c r="B339" i="3"/>
  <c r="C339" i="3" s="1"/>
  <c r="B340" i="3"/>
  <c r="C340" i="3" s="1"/>
  <c r="B341" i="3"/>
  <c r="C341" i="3" s="1"/>
  <c r="B344" i="3"/>
  <c r="B345" i="3"/>
  <c r="C345" i="3" s="1"/>
  <c r="B346" i="3"/>
  <c r="C346" i="3" s="1"/>
  <c r="B349" i="3"/>
  <c r="B350" i="3"/>
  <c r="C350" i="3" s="1"/>
  <c r="B351" i="3"/>
  <c r="C351" i="3" s="1"/>
  <c r="B354" i="3"/>
  <c r="B355" i="3"/>
  <c r="C355" i="3" s="1"/>
  <c r="B356" i="3"/>
  <c r="C356" i="3" s="1"/>
  <c r="B359" i="3"/>
  <c r="B360" i="3"/>
  <c r="C360" i="3" s="1"/>
  <c r="B363" i="3"/>
  <c r="B364" i="3"/>
  <c r="C364" i="3" s="1"/>
  <c r="B365" i="3"/>
  <c r="C365" i="3" s="1"/>
  <c r="B366" i="3"/>
  <c r="C366" i="3" s="1"/>
  <c r="B367" i="3"/>
  <c r="C367" i="3" s="1"/>
  <c r="B368" i="3"/>
  <c r="C368" i="3" s="1"/>
  <c r="B371" i="3"/>
  <c r="B372" i="3"/>
  <c r="C372" i="3" s="1"/>
  <c r="G28" i="4"/>
  <c r="G29" i="4"/>
  <c r="G31" i="4"/>
  <c r="G32" i="4"/>
  <c r="G34" i="4"/>
  <c r="G35" i="4"/>
  <c r="G37" i="4"/>
  <c r="G38" i="4"/>
  <c r="G39" i="4"/>
  <c r="G40" i="4"/>
  <c r="G41" i="4"/>
  <c r="G43" i="4"/>
  <c r="G44" i="4"/>
  <c r="G45" i="4"/>
  <c r="G46" i="4"/>
  <c r="G47" i="4"/>
  <c r="G49" i="4"/>
  <c r="G50" i="4"/>
  <c r="G51" i="4"/>
  <c r="G52" i="4"/>
  <c r="G54" i="4"/>
  <c r="G55" i="4"/>
  <c r="G57" i="4"/>
  <c r="G58" i="4"/>
  <c r="G60" i="4"/>
  <c r="G61" i="4"/>
  <c r="G62" i="4"/>
  <c r="G63" i="4"/>
  <c r="G64" i="4"/>
  <c r="G66" i="4"/>
  <c r="G67" i="4"/>
  <c r="G70" i="4"/>
  <c r="G71" i="4"/>
  <c r="G72" i="4"/>
  <c r="G74" i="4"/>
  <c r="G75" i="4"/>
  <c r="G76" i="4"/>
  <c r="G78" i="4"/>
  <c r="G79" i="4"/>
  <c r="G80" i="4"/>
  <c r="G4" i="4"/>
  <c r="G5" i="4"/>
  <c r="G7" i="4"/>
  <c r="G8" i="4"/>
  <c r="G9" i="4"/>
  <c r="G10" i="4"/>
  <c r="G16" i="4"/>
  <c r="G17" i="4"/>
  <c r="G19" i="4"/>
  <c r="G20" i="4"/>
  <c r="G21" i="4"/>
  <c r="G22" i="4"/>
  <c r="G24" i="4"/>
  <c r="G25" i="4"/>
  <c r="G26" i="4"/>
  <c r="B93" i="3"/>
  <c r="B94" i="3"/>
  <c r="B121" i="3"/>
  <c r="C121" i="3" s="1"/>
  <c r="B137" i="3"/>
  <c r="B138" i="3"/>
  <c r="B153" i="3"/>
  <c r="B154" i="3"/>
  <c r="B155" i="3"/>
  <c r="B158" i="3"/>
  <c r="B159" i="3"/>
  <c r="B160" i="3"/>
  <c r="B161" i="3"/>
  <c r="B162" i="3"/>
  <c r="B165" i="3"/>
  <c r="B166" i="3"/>
  <c r="B167" i="3"/>
  <c r="B168" i="3"/>
  <c r="B169" i="3"/>
  <c r="B170" i="3"/>
  <c r="B173" i="3"/>
  <c r="B174" i="3"/>
  <c r="B175" i="3"/>
  <c r="B176" i="3"/>
  <c r="B179" i="3"/>
  <c r="B180" i="3"/>
  <c r="B181" i="3"/>
  <c r="B184" i="3"/>
  <c r="B185" i="3"/>
  <c r="B186" i="3"/>
  <c r="B187" i="3"/>
  <c r="B188" i="3"/>
  <c r="H295" i="4"/>
  <c r="H289" i="4"/>
  <c r="H286" i="4"/>
  <c r="H264" i="4"/>
  <c r="H261" i="4"/>
  <c r="H256" i="4"/>
  <c r="H245" i="4"/>
  <c r="H238" i="4"/>
  <c r="H235" i="4"/>
  <c r="H232" i="4"/>
  <c r="H201" i="4"/>
  <c r="H77" i="4"/>
  <c r="H68" i="4"/>
  <c r="H53" i="4"/>
  <c r="C371" i="3" l="1"/>
  <c r="C359" i="3"/>
  <c r="C344" i="3"/>
  <c r="C354" i="3"/>
  <c r="A120" i="3"/>
  <c r="C329" i="3"/>
  <c r="C278" i="3"/>
  <c r="C363" i="3"/>
  <c r="C349" i="3"/>
  <c r="H241" i="4"/>
  <c r="B281" i="3"/>
  <c r="C281" i="3" s="1"/>
  <c r="B40" i="3"/>
  <c r="G312" i="4"/>
  <c r="G304" i="4"/>
  <c r="G201" i="4"/>
  <c r="G264" i="4"/>
  <c r="G295" i="4"/>
  <c r="G210" i="4"/>
  <c r="G308" i="4"/>
  <c r="G256" i="4"/>
  <c r="G249" i="4"/>
  <c r="G245" i="4"/>
  <c r="G241" i="4"/>
  <c r="G68" i="4"/>
  <c r="G261" i="4"/>
  <c r="G73" i="4"/>
  <c r="G65" i="4"/>
  <c r="G53" i="4"/>
  <c r="G48" i="4"/>
  <c r="G23" i="4"/>
  <c r="G292" i="4"/>
  <c r="G81" i="4"/>
  <c r="H82" i="4" s="1"/>
  <c r="G232" i="4"/>
  <c r="G301" i="4"/>
  <c r="G289" i="4"/>
  <c r="G77" i="4"/>
  <c r="G56" i="4"/>
  <c r="G36" i="4"/>
  <c r="G238" i="4"/>
  <c r="G235" i="4"/>
  <c r="G103" i="4"/>
  <c r="H104" i="4" s="1"/>
  <c r="G59" i="4"/>
  <c r="G27" i="4"/>
  <c r="G15" i="4"/>
  <c r="G286" i="4"/>
  <c r="G42" i="4"/>
  <c r="G33" i="4"/>
  <c r="G30" i="4"/>
  <c r="G18" i="4"/>
  <c r="G221" i="4"/>
  <c r="G215" i="4"/>
  <c r="G226" i="4"/>
  <c r="G205" i="4"/>
  <c r="C43" i="3" l="1"/>
  <c r="C38" i="3"/>
  <c r="C39" i="3"/>
  <c r="G3" i="4"/>
  <c r="B92" i="3"/>
  <c r="G197" i="4"/>
  <c r="B279" i="3"/>
  <c r="C185" i="3"/>
  <c r="C154" i="3"/>
  <c r="C158" i="3"/>
  <c r="C161" i="3"/>
  <c r="C174" i="3"/>
  <c r="C162" i="3"/>
  <c r="C155" i="3"/>
  <c r="C184" i="3"/>
  <c r="C181" i="3"/>
  <c r="C153" i="3"/>
  <c r="C169" i="3"/>
  <c r="C159" i="3"/>
  <c r="C160" i="3"/>
  <c r="C175" i="3"/>
  <c r="C187" i="3"/>
  <c r="C167" i="3"/>
  <c r="C180" i="3"/>
  <c r="C168" i="3"/>
  <c r="C179" i="3"/>
  <c r="C188" i="3"/>
  <c r="C173" i="3"/>
  <c r="C165" i="3"/>
  <c r="C176" i="3"/>
  <c r="C166" i="3"/>
  <c r="C170" i="3"/>
  <c r="C186" i="3"/>
  <c r="C137" i="3"/>
  <c r="C138" i="3"/>
  <c r="C93" i="3"/>
  <c r="C94" i="3"/>
  <c r="C41" i="3"/>
  <c r="C42" i="3"/>
  <c r="C40" i="3"/>
  <c r="A267" i="3"/>
  <c r="C92" i="3" l="1"/>
  <c r="C279" i="3"/>
  <c r="F155" i="1"/>
  <c r="A260" i="3"/>
  <c r="A263" i="3"/>
  <c r="A266" i="3"/>
  <c r="A265" i="3"/>
  <c r="A264" i="3"/>
  <c r="B20" i="3" l="1"/>
  <c r="F129" i="1"/>
  <c r="F130" i="1"/>
  <c r="F132" i="1"/>
  <c r="F133" i="1"/>
  <c r="F135" i="1"/>
  <c r="F136" i="1"/>
  <c r="F138" i="1"/>
  <c r="F139" i="1"/>
  <c r="F127" i="1"/>
  <c r="F134" i="1" l="1"/>
  <c r="F131" i="1"/>
  <c r="F128" i="1"/>
  <c r="F137" i="1"/>
  <c r="F49" i="1"/>
  <c r="A258" i="3" l="1"/>
  <c r="F98" i="1"/>
  <c r="F97" i="1"/>
  <c r="F96" i="1"/>
  <c r="A259" i="3"/>
  <c r="A257" i="3"/>
  <c r="A256" i="3"/>
  <c r="A28" i="3"/>
  <c r="A29" i="3"/>
  <c r="A30" i="3"/>
  <c r="A27" i="3"/>
  <c r="A103" i="3"/>
  <c r="A104" i="3"/>
  <c r="A105" i="3"/>
  <c r="A97" i="3"/>
  <c r="A98" i="3"/>
  <c r="A99" i="3"/>
  <c r="A108" i="3"/>
  <c r="A109" i="3"/>
  <c r="A110" i="3"/>
  <c r="A113" i="3"/>
  <c r="A114" i="3"/>
  <c r="A115" i="3"/>
  <c r="A96" i="3"/>
  <c r="A107" i="3"/>
  <c r="A112" i="3"/>
  <c r="A102" i="3"/>
  <c r="A192" i="3"/>
  <c r="A198" i="3"/>
  <c r="A84" i="3"/>
  <c r="A85" i="3"/>
  <c r="A86" i="3"/>
  <c r="A87" i="3"/>
  <c r="A88" i="3"/>
  <c r="A83" i="3"/>
  <c r="B30" i="3"/>
  <c r="B103" i="3"/>
  <c r="B104" i="3"/>
  <c r="B105" i="3"/>
  <c r="B97" i="3"/>
  <c r="B98" i="3"/>
  <c r="B99" i="3"/>
  <c r="B108" i="3"/>
  <c r="B109" i="3"/>
  <c r="B110" i="3"/>
  <c r="B113" i="3"/>
  <c r="B114" i="3"/>
  <c r="B115" i="3"/>
  <c r="B84" i="3"/>
  <c r="B85" i="3"/>
  <c r="B86" i="3"/>
  <c r="B87" i="3"/>
  <c r="B88" i="3"/>
  <c r="B27" i="3" l="1"/>
  <c r="B28" i="3"/>
  <c r="B29" i="3"/>
  <c r="B252" i="3"/>
  <c r="C252" i="3" s="1"/>
  <c r="A60" i="3" l="1"/>
  <c r="A66" i="3"/>
  <c r="A61" i="3"/>
  <c r="A62" i="3"/>
  <c r="A63" i="3"/>
  <c r="A59" i="3"/>
  <c r="A58" i="3"/>
  <c r="A34" i="3"/>
  <c r="A35" i="3"/>
  <c r="A33" i="3"/>
  <c r="A52" i="3"/>
  <c r="A53" i="3"/>
  <c r="A54" i="3"/>
  <c r="A51" i="3"/>
  <c r="A49" i="3"/>
  <c r="A46" i="3"/>
  <c r="A47" i="3"/>
  <c r="A48" i="3"/>
  <c r="A45" i="3"/>
  <c r="A81" i="3" l="1"/>
  <c r="A72" i="3"/>
  <c r="A73" i="3"/>
  <c r="A74" i="3"/>
  <c r="A75" i="3"/>
  <c r="A76" i="3"/>
  <c r="A77" i="3"/>
  <c r="A78" i="3"/>
  <c r="A79" i="3"/>
  <c r="A80" i="3"/>
  <c r="A23" i="3"/>
  <c r="A24" i="3"/>
  <c r="C27" i="3" l="1"/>
  <c r="C28" i="3"/>
  <c r="C29" i="3"/>
  <c r="C30" i="3"/>
  <c r="C113" i="3"/>
  <c r="C105" i="3"/>
  <c r="C114" i="3"/>
  <c r="C104" i="3"/>
  <c r="C99" i="3"/>
  <c r="C108" i="3"/>
  <c r="C109" i="3"/>
  <c r="C103" i="3"/>
  <c r="C97" i="3"/>
  <c r="C110" i="3"/>
  <c r="C115" i="3"/>
  <c r="C98" i="3"/>
  <c r="C84" i="3"/>
  <c r="C88" i="3"/>
  <c r="C85" i="3"/>
  <c r="C86" i="3"/>
  <c r="C87" i="3"/>
  <c r="B66" i="3"/>
  <c r="C66" i="3" s="1"/>
  <c r="B65" i="3"/>
  <c r="C65" i="3" s="1"/>
  <c r="B64" i="3"/>
  <c r="C64" i="3" s="1"/>
  <c r="B63" i="3"/>
  <c r="C63" i="3" s="1"/>
  <c r="B62" i="3"/>
  <c r="C62" i="3" s="1"/>
  <c r="B61" i="3"/>
  <c r="C61" i="3" s="1"/>
  <c r="B60" i="3"/>
  <c r="C60" i="3" s="1"/>
  <c r="B59" i="3"/>
  <c r="C59" i="3" s="1"/>
  <c r="B54" i="3"/>
  <c r="C54" i="3" s="1"/>
  <c r="B53" i="3"/>
  <c r="C53" i="3" s="1"/>
  <c r="B52" i="3"/>
  <c r="B58" i="3"/>
  <c r="B35" i="3"/>
  <c r="C35" i="3" s="1"/>
  <c r="B34" i="3"/>
  <c r="B49" i="3"/>
  <c r="C49" i="3" s="1"/>
  <c r="B48" i="3"/>
  <c r="C48" i="3" s="1"/>
  <c r="B47" i="3"/>
  <c r="C47" i="3" s="1"/>
  <c r="B46" i="3"/>
  <c r="B81" i="3"/>
  <c r="C81" i="3" s="1"/>
  <c r="B80" i="3"/>
  <c r="C80" i="3" s="1"/>
  <c r="B79" i="3"/>
  <c r="C79" i="3" s="1"/>
  <c r="B78" i="3"/>
  <c r="C78" i="3" s="1"/>
  <c r="B77" i="3"/>
  <c r="C77" i="3" s="1"/>
  <c r="B76" i="3"/>
  <c r="C76" i="3" s="1"/>
  <c r="B75" i="3"/>
  <c r="C75" i="3" s="1"/>
  <c r="B74" i="3"/>
  <c r="C74" i="3" s="1"/>
  <c r="B73" i="3"/>
  <c r="C73" i="3" s="1"/>
  <c r="B72" i="3"/>
  <c r="B24" i="3"/>
  <c r="C24" i="3" s="1"/>
  <c r="B23" i="3"/>
  <c r="C23" i="3" s="1"/>
  <c r="F101" i="1"/>
  <c r="F103" i="1"/>
  <c r="F105" i="1"/>
  <c r="F107" i="1"/>
  <c r="F109" i="1"/>
  <c r="F111" i="1"/>
  <c r="F113" i="1"/>
  <c r="F115" i="1"/>
  <c r="F117" i="1"/>
  <c r="F119" i="1"/>
  <c r="F121" i="1"/>
  <c r="F123" i="1"/>
  <c r="F125" i="1"/>
  <c r="F120" i="1"/>
  <c r="F108" i="1"/>
  <c r="F104" i="1"/>
  <c r="F94" i="1"/>
  <c r="F95" i="1"/>
  <c r="C52" i="3" l="1"/>
  <c r="C46" i="3"/>
  <c r="C34" i="3"/>
  <c r="C72" i="3"/>
  <c r="C58" i="3"/>
  <c r="F68" i="1"/>
  <c r="F140" i="1"/>
  <c r="F152" i="1"/>
  <c r="F143" i="1"/>
  <c r="F146" i="1"/>
  <c r="F149" i="1"/>
  <c r="F112" i="1"/>
  <c r="F116" i="1"/>
  <c r="F124" i="1"/>
  <c r="F102" i="1"/>
  <c r="F100" i="1"/>
  <c r="F106" i="1"/>
  <c r="F110" i="1"/>
  <c r="F114" i="1"/>
  <c r="F118" i="1"/>
  <c r="F122" i="1"/>
  <c r="F126" i="1"/>
  <c r="F78" i="1"/>
  <c r="F85" i="1"/>
  <c r="F86" i="1"/>
  <c r="F88" i="1"/>
  <c r="F89" i="1"/>
  <c r="F91" i="1"/>
  <c r="F92" i="1"/>
  <c r="F39" i="1"/>
  <c r="F40" i="1"/>
  <c r="F41" i="1"/>
  <c r="F42" i="1"/>
  <c r="F44" i="1"/>
  <c r="F45" i="1"/>
  <c r="F47" i="1"/>
  <c r="F48" i="1"/>
  <c r="F50" i="1"/>
  <c r="F51" i="1"/>
  <c r="F52" i="1"/>
  <c r="F54" i="1"/>
  <c r="F55" i="1"/>
  <c r="F57" i="1"/>
  <c r="F58" i="1"/>
  <c r="F60" i="1"/>
  <c r="F61" i="1"/>
  <c r="F63" i="1"/>
  <c r="F64" i="1"/>
  <c r="F66" i="1"/>
  <c r="F67" i="1"/>
  <c r="F69" i="1"/>
  <c r="F70" i="1"/>
  <c r="F71" i="1"/>
  <c r="F73" i="1"/>
  <c r="F74" i="1"/>
  <c r="F76" i="1"/>
  <c r="F77" i="1"/>
  <c r="F43" i="1" l="1"/>
  <c r="F93" i="1"/>
  <c r="F75" i="1"/>
  <c r="F87" i="1"/>
  <c r="F59" i="1"/>
  <c r="F72" i="1"/>
  <c r="F56" i="1"/>
  <c r="F62" i="1"/>
  <c r="F46" i="1"/>
  <c r="F38" i="1"/>
  <c r="F65" i="1"/>
  <c r="F53" i="1"/>
  <c r="F90" i="1"/>
  <c r="F84" i="1"/>
  <c r="F22" i="1" l="1"/>
  <c r="F23" i="1"/>
  <c r="F24" i="1"/>
  <c r="F25" i="1"/>
  <c r="F26" i="1"/>
  <c r="F27" i="1"/>
  <c r="F28" i="1"/>
  <c r="F29" i="1"/>
  <c r="F30" i="1"/>
  <c r="F31" i="1"/>
  <c r="F33" i="1"/>
  <c r="F34" i="1"/>
  <c r="F35" i="1"/>
  <c r="F36" i="1"/>
  <c r="F37" i="1"/>
  <c r="F16" i="1"/>
  <c r="F17" i="1"/>
  <c r="F19" i="1"/>
  <c r="F20" i="1"/>
  <c r="F10" i="1"/>
  <c r="F11" i="1"/>
  <c r="F13" i="1"/>
  <c r="F14" i="1"/>
  <c r="F4" i="1"/>
  <c r="F5" i="1"/>
  <c r="F7" i="1"/>
  <c r="F8" i="1"/>
  <c r="F32" i="1" l="1"/>
  <c r="F12" i="1"/>
  <c r="F15" i="1"/>
  <c r="F18" i="1"/>
  <c r="F21" i="1"/>
  <c r="F6" i="1"/>
  <c r="F3" i="1"/>
  <c r="F9" i="1"/>
</calcChain>
</file>

<file path=xl/sharedStrings.xml><?xml version="1.0" encoding="utf-8"?>
<sst xmlns="http://schemas.openxmlformats.org/spreadsheetml/2006/main" count="1190" uniqueCount="425">
  <si>
    <t>gender</t>
  </si>
  <si>
    <t>da_disabled</t>
  </si>
  <si>
    <t>da_migrant</t>
  </si>
  <si>
    <t>da_minority</t>
  </si>
  <si>
    <t>da_other_disadvantage</t>
  </si>
  <si>
    <t>da_resident</t>
  </si>
  <si>
    <t>edu_attainment_school</t>
  </si>
  <si>
    <t>edu_attainment_vocational</t>
  </si>
  <si>
    <t>lm_employment_category_employed</t>
  </si>
  <si>
    <t>lm_employment_category_inactive</t>
  </si>
  <si>
    <t>lm_employment_category_lookingforwork</t>
  </si>
  <si>
    <t>lm_employment_category_selfemployed</t>
  </si>
  <si>
    <t>lm_employment_category_underemployed</t>
  </si>
  <si>
    <t>new_job_or_self_employed</t>
  </si>
  <si>
    <t>new_job_search</t>
  </si>
  <si>
    <t>school_job_education</t>
  </si>
  <si>
    <t>status_end_measure</t>
  </si>
  <si>
    <t>age</t>
  </si>
  <si>
    <t>CO01</t>
  </si>
  <si>
    <t>CO02</t>
  </si>
  <si>
    <t>CO03</t>
  </si>
  <si>
    <t>CO04</t>
  </si>
  <si>
    <t>CO05</t>
  </si>
  <si>
    <t>CO06</t>
  </si>
  <si>
    <t>CO07</t>
  </si>
  <si>
    <t>CO08</t>
  </si>
  <si>
    <t>CO09</t>
  </si>
  <si>
    <t>CO10</t>
  </si>
  <si>
    <t>CO11</t>
  </si>
  <si>
    <t>CO12</t>
  </si>
  <si>
    <t>CO13</t>
  </si>
  <si>
    <t>CO14</t>
  </si>
  <si>
    <t>CO15</t>
  </si>
  <si>
    <t>CO16</t>
  </si>
  <si>
    <t>CO17</t>
  </si>
  <si>
    <t>CO18</t>
  </si>
  <si>
    <t>CR01</t>
  </si>
  <si>
    <t>CR02</t>
  </si>
  <si>
    <t>CR03</t>
  </si>
  <si>
    <t>CR04</t>
  </si>
  <si>
    <t>CR05</t>
  </si>
  <si>
    <t>Name</t>
  </si>
  <si>
    <t>weiblich</t>
  </si>
  <si>
    <t>männlich</t>
  </si>
  <si>
    <t>Geschlecht</t>
  </si>
  <si>
    <t>keine Angabe</t>
  </si>
  <si>
    <t>Nein</t>
  </si>
  <si>
    <t>Ja</t>
  </si>
  <si>
    <t>Anzahl</t>
  </si>
  <si>
    <t>Label</t>
  </si>
  <si>
    <t>Wert</t>
  </si>
  <si>
    <t>Bedeutung</t>
  </si>
  <si>
    <t>Prüfung</t>
  </si>
  <si>
    <t>(Noch) keine abgeschlossene Berufsausbildung</t>
  </si>
  <si>
    <t>(Fach-)Hochschulabschluss Master, Diplom-Universitätsstudiengang</t>
  </si>
  <si>
    <t>Promotion</t>
  </si>
  <si>
    <t>(Außer-)betriebliche Lehre/Ausbildung, Berufsfachschule, sonstige schulische BA</t>
  </si>
  <si>
    <t>Fachhochschulabschluss Bachelor/Diplom, Meisterbrief oder  gleichwertiges Zertifikat</t>
  </si>
  <si>
    <t>(Noch) kein Schulabschluss und mindestens 4 Jahre eine Schule besucht</t>
  </si>
  <si>
    <t>(Noch) kein Schulabschluss und weniger als 4 Jahre eine Schule besucht</t>
  </si>
  <si>
    <t>Förderschulabschluss</t>
  </si>
  <si>
    <t>Hauptschulabschluss</t>
  </si>
  <si>
    <t>Mittlerer Schulabschluss (Realschulabschluss, Fachoberschulreife)</t>
  </si>
  <si>
    <t xml:space="preserve">Berufsvorbereitungsjahr/Berufsorientierungsjahr/Ausbildungsvorbereitungsjahr </t>
  </si>
  <si>
    <t>Berufsgrundbildungsjahr (Anerkennung als 1. Ausbildungsjahr möglich)</t>
  </si>
  <si>
    <t xml:space="preserve">Abitur/Fachhochschulreife erworben auf dem 1. Bildungsweg </t>
  </si>
  <si>
    <t xml:space="preserve">Abitur/Fachhochschulreife erworben auf dem 2. Bildungsweg </t>
  </si>
  <si>
    <t>(Noch) kein Schulabschluss, Dauer des Schulbesuchs unbek.</t>
  </si>
  <si>
    <t>Arbeitslosengeld</t>
  </si>
  <si>
    <t>Nicht angegeben</t>
  </si>
  <si>
    <t>Ja, von der Agentur für Arbeit (Arbeitslosengeld)</t>
  </si>
  <si>
    <t>Ja, vom Jobcenter (Arbeitslosengeld II/Hartz IV)</t>
  </si>
  <si>
    <t>Ja, gleichzeitiger Bezug von Arbeitslosengeld I und Arbeitslosengeld II</t>
  </si>
  <si>
    <t>Arbeitslos</t>
  </si>
  <si>
    <t>Arbeitssuchend</t>
  </si>
  <si>
    <t>Erwerbstätig</t>
  </si>
  <si>
    <t>Geringfügig beschäftigt</t>
  </si>
  <si>
    <t>Auszubildende im Betrieb</t>
  </si>
  <si>
    <t>Nicht enthalten</t>
  </si>
  <si>
    <t>lm_employment_supportpurchased</t>
  </si>
  <si>
    <t>lm_employment_category_unemployed</t>
  </si>
  <si>
    <t>lm_employment_category_school</t>
  </si>
  <si>
    <t>lm_employment_category_education_enterprise</t>
  </si>
  <si>
    <t>lm_employment_category_education_school</t>
  </si>
  <si>
    <t>lm_employment_category_fulltime_student</t>
  </si>
  <si>
    <t>lm_employment_category_training</t>
  </si>
  <si>
    <t>Vorzeitig ausgetreten</t>
  </si>
  <si>
    <t>Arbeit aufgenommen oder selbstständig</t>
  </si>
  <si>
    <t>in schulischer/beruflicher Bildung</t>
  </si>
  <si>
    <t>neu arbeitsuchend</t>
  </si>
  <si>
    <t>Austritte</t>
  </si>
  <si>
    <t>Gemeinsame Indikatoren</t>
  </si>
  <si>
    <t>unter 20</t>
  </si>
  <si>
    <t>20 bis 29</t>
  </si>
  <si>
    <t>30 bis 39</t>
  </si>
  <si>
    <t>ab 40</t>
  </si>
  <si>
    <t>Eintritte</t>
  </si>
  <si>
    <t>Alleinerziehend</t>
  </si>
  <si>
    <t>Schwerbehindertenausweis</t>
  </si>
  <si>
    <t>anerkannte Minderheit</t>
  </si>
  <si>
    <t>Wohnlungslos</t>
  </si>
  <si>
    <t>Höchster Schulabschluss</t>
  </si>
  <si>
    <t>Höchster Berufsabschluss</t>
  </si>
  <si>
    <t>Eintrittsalter</t>
  </si>
  <si>
    <t>Datenbestand vom</t>
  </si>
  <si>
    <t>Auswertung der Teilnehmenden im ESF-Programm</t>
  </si>
  <si>
    <t>Zeitraum bis</t>
  </si>
  <si>
    <t>absolut</t>
  </si>
  <si>
    <t>in %</t>
  </si>
  <si>
    <t>Programmübergreifend Austritt</t>
  </si>
  <si>
    <t>Programmübergreifend Eintritt</t>
  </si>
  <si>
    <t>Programmübergreifende Indikatoren</t>
  </si>
  <si>
    <t>Weitere Erwerbspersonen im HH</t>
  </si>
  <si>
    <t>Haushalts- und Erziehungssituation</t>
  </si>
  <si>
    <t>Soziale Benachteiligungen/individuelle Beeinträchtigungen</t>
  </si>
  <si>
    <t>Sonstige Benachteiligungen</t>
  </si>
  <si>
    <t>Angaben zur Auswertung</t>
  </si>
  <si>
    <t>Allgemeine ESF-Fragen zum Austritt</t>
  </si>
  <si>
    <t>Allgemeine ESF-Fragen zum Eintritt</t>
  </si>
  <si>
    <t>Erwerbstatus</t>
  </si>
  <si>
    <t>Weitere Angaben zum Status bei Eintritt</t>
  </si>
  <si>
    <t>Qualifizierung erhalten</t>
  </si>
  <si>
    <t>Vollzeit erwerbstätig</t>
  </si>
  <si>
    <t>Teilzeit erwerbstätig</t>
  </si>
  <si>
    <t>Frage</t>
  </si>
  <si>
    <t>Kategorie / Filter</t>
  </si>
  <si>
    <t>Migration</t>
  </si>
  <si>
    <t>misc_german_nationality</t>
  </si>
  <si>
    <t>Fragenfilter</t>
  </si>
  <si>
    <t>Mehrfachnennungen</t>
  </si>
  <si>
    <t>SIB spezifisch</t>
  </si>
  <si>
    <t>Zeitraum von</t>
  </si>
  <si>
    <t>Programmkürzel</t>
  </si>
  <si>
    <t>In schulischer oder außerbetriebl. Ausb.</t>
  </si>
  <si>
    <t>Sonstigen Aus- und Weiterbildung</t>
  </si>
  <si>
    <t>Nicht erwerbstätig</t>
  </si>
  <si>
    <t>A2.1</t>
  </si>
  <si>
    <t>Ergebnisindikator</t>
  </si>
  <si>
    <t>Outputindikator</t>
  </si>
  <si>
    <t>Programmspezifische Fragen zum Eintritt</t>
  </si>
  <si>
    <t>Nichterwerbstätige TN, die neu auf Arbeitsuche sind</t>
  </si>
  <si>
    <t>TN, die eine schulische/berufliche Bildung absolvieren</t>
  </si>
  <si>
    <t>TN, die einen Arbeitsplatz haben, einschließlich Selbständige</t>
  </si>
  <si>
    <t>TN, die eine Qualifizierung erlangen</t>
  </si>
  <si>
    <t>Benachteiligte TN, die auf Arbeitsuche sind, eine schulische/berufliche Bildung absolvieren, eine Qualifizierung erlangen, einen Arbeitsplatz haben, einschließlich Selbständige</t>
  </si>
  <si>
    <t>Wechsel in sv B</t>
  </si>
  <si>
    <t>Erwerbsstatus</t>
  </si>
  <si>
    <t>Generierte ESF-Ergebnisinidkatoren</t>
  </si>
  <si>
    <t>Staatsbürgerschaft und Herkunft</t>
  </si>
  <si>
    <t>Deutsche Staatsangehörigkeit</t>
  </si>
  <si>
    <t>minijob_to_si</t>
  </si>
  <si>
    <t>qualification_pwe</t>
  </si>
  <si>
    <t>TN, die nach ihrer Teilnahme einen Arbeitsplatz haben, auf Arbeitsuche sind oder für den Arbeitsmarkt aktiviert wurden (A2.1)</t>
  </si>
  <si>
    <t>Gut qualifizierte Kernzielgruppe</t>
  </si>
  <si>
    <t>Pflege</t>
  </si>
  <si>
    <t>Minijob</t>
  </si>
  <si>
    <t>HDL</t>
  </si>
  <si>
    <t>Zielgruppe</t>
  </si>
  <si>
    <t>Familienphase</t>
  </si>
  <si>
    <t>Familienphase hat stattgefunden</t>
  </si>
  <si>
    <t>Elternzeit</t>
  </si>
  <si>
    <t>Teilnehmende in Elternzeit (Vollzeit)/ Sonderurlauber/innen, mit einem Rückkehranspruch</t>
  </si>
  <si>
    <t>Nicht erhoben</t>
  </si>
  <si>
    <t>Trifft nicht zu</t>
  </si>
  <si>
    <t>Vereinbarkeitsgründen</t>
  </si>
  <si>
    <t>Arbeitgeberseitigen Gründen</t>
  </si>
  <si>
    <t>PWE-Online</t>
  </si>
  <si>
    <t>Teilnahme an PWE-Online</t>
  </si>
  <si>
    <t>Berufsabschluss</t>
  </si>
  <si>
    <t>Erwerbspause</t>
  </si>
  <si>
    <t>Die/der Teilnehmende hat eine Erwerbspause</t>
  </si>
  <si>
    <t>Von &lt; 1 Jahr</t>
  </si>
  <si>
    <t>Von 1 bis 3 Jahren</t>
  </si>
  <si>
    <t>Von 3 bis 6 Jahren</t>
  </si>
  <si>
    <t>Von &gt; 6 Jahren</t>
  </si>
  <si>
    <t>Keine Erwerbspause (ggf. Förderausschluss!)</t>
  </si>
  <si>
    <t>Kinder</t>
  </si>
  <si>
    <t>Erziehung eines Kindes</t>
  </si>
  <si>
    <t>Erziehung zweier Kinder</t>
  </si>
  <si>
    <t>Erziehung dreier Kinder</t>
  </si>
  <si>
    <t>Erziehung von mehr als drei Kindern</t>
  </si>
  <si>
    <t>Pflege von Familienangehörigen</t>
  </si>
  <si>
    <t>Pflege eines Kindes</t>
  </si>
  <si>
    <t>Pflege einer nahestehenden Person</t>
  </si>
  <si>
    <t>TN hat vor der familienbedingten Erwerbsunterbrechung SGB II Leistungen wg. LZA erhalten</t>
  </si>
  <si>
    <t>nein</t>
  </si>
  <si>
    <t>ja</t>
  </si>
  <si>
    <t>Wunsch Zeitumfang</t>
  </si>
  <si>
    <t>In welchem zeitlichen Umfang möchte die/der Teilnehmende einer Beschäftigung nachgehen</t>
  </si>
  <si>
    <t>Über 75% der Regelarbeitszeit</t>
  </si>
  <si>
    <t>Über 50% bis 75% der Regelarbeitszeit</t>
  </si>
  <si>
    <t>50% der Regelarbeitszeit</t>
  </si>
  <si>
    <t>Weniger als 50% der Regelarbeitszeit</t>
  </si>
  <si>
    <t>Noch nicht sicher</t>
  </si>
  <si>
    <t>Ursprungsbranche</t>
  </si>
  <si>
    <t>Ursprungsbranche der/des Teilnehmenden</t>
  </si>
  <si>
    <t>Land- und Forstwirtschaft, Fischerei</t>
  </si>
  <si>
    <t>Information und Kommunikation</t>
  </si>
  <si>
    <t>Erbringung von Finanz- und Versicherungsdienstleistungen</t>
  </si>
  <si>
    <t>Grundstücks- und Wohnungswesen</t>
  </si>
  <si>
    <t>Erbringung von freiberuflichen, wissenschaftlichen und technischen Dienstleistungen</t>
  </si>
  <si>
    <t>Erbringung von sonstigen wirtschaftlichen Dienstleistungen</t>
  </si>
  <si>
    <t>Öffentliche Verwaltung, Verteidigung, Sozialversicherung</t>
  </si>
  <si>
    <t>Erziehung und Unterricht</t>
  </si>
  <si>
    <t>Gesundheits- und Sozialwesen</t>
  </si>
  <si>
    <t>Kunst, Unterhaltung und Erholung</t>
  </si>
  <si>
    <t>Erbringung von sonstigen Dienstleistungen</t>
  </si>
  <si>
    <t>Bergbau und Gewinnung von Steinen und Erden</t>
  </si>
  <si>
    <t>Private Haushalte mit Hauspersonal; Herstellung von Waren und Erbringung von Dienstleistungen durch private Haushalte für den Eigenbedarf ohne ausgeprägten Schwerpunkt</t>
  </si>
  <si>
    <t>Exterritoriale Organisationen und Körperschaften</t>
  </si>
  <si>
    <t>Verarbeitendes Gewerbe</t>
  </si>
  <si>
    <t>Energieversorgung</t>
  </si>
  <si>
    <t>Wasserversorgung; Abwasser- und Abfallentsorgung und Beseitigung von Umweltverschmutzungen</t>
  </si>
  <si>
    <t>Baugewerbe</t>
  </si>
  <si>
    <t>Handel; Instandhaltung und Reparatur von Kraftfahrzeugen</t>
  </si>
  <si>
    <t>Verkehr und Lagerei</t>
  </si>
  <si>
    <t>Gastgewerbe</t>
  </si>
  <si>
    <t>Zielbranche</t>
  </si>
  <si>
    <t>Zeit für WE</t>
  </si>
  <si>
    <t>HDL beansprucht</t>
  </si>
  <si>
    <t>HDL vorstellbar</t>
  </si>
  <si>
    <t>unsicher</t>
  </si>
  <si>
    <t>Partner/in ist eingebunden</t>
  </si>
  <si>
    <t>nicht möglich</t>
  </si>
  <si>
    <t>Partner/in einbinden</t>
  </si>
  <si>
    <t>partner_integrated</t>
  </si>
  <si>
    <t>pwe_targetgroup</t>
  </si>
  <si>
    <t>pwe_targetgroup_family_phase</t>
  </si>
  <si>
    <t>pwe_targetgroup_parenttime</t>
  </si>
  <si>
    <t>pwe_targetgroup_parenttime_specialsupport</t>
  </si>
  <si>
    <t>pwe_online</t>
  </si>
  <si>
    <t>pwe_acquisition_pause</t>
  </si>
  <si>
    <t>pwe_acquisition_pause_reason</t>
  </si>
  <si>
    <t>pwe_acquisition_pause_reason_care</t>
  </si>
  <si>
    <t>pwe_labour_interruption</t>
  </si>
  <si>
    <t>pwe_family_phase_minijob</t>
  </si>
  <si>
    <t>pwe_labour_time_scope</t>
  </si>
  <si>
    <t>pwe_hdl_claimed</t>
  </si>
  <si>
    <t>pwe_hdl_conceivable</t>
  </si>
  <si>
    <t>pwe_partner_integrated</t>
  </si>
  <si>
    <t>pwe_partner_integration</t>
  </si>
  <si>
    <t>pwe_industry</t>
  </si>
  <si>
    <t>pwe_industry_wish</t>
  </si>
  <si>
    <t>ZG „Kernzielgruppe“ keine abgeschlossene Berufsausbildung/
kein abgeschlossenes Studium vor: Die/der Teilnehmende verfügt über eine adäquate
Berufserfahrung</t>
  </si>
  <si>
    <t>ZG „Pflegende, die nicht gleichzeitig erwerbstätig sind“ keine
abgeschlossene Berufsausbildung/ kein abgeschlossenes Studium vor: Die/der Teilnehmende verfügt
über eine adäquate Berufserfahrung</t>
  </si>
  <si>
    <t>Kernzielgruppe ohne BA, aber Berufserfahrung</t>
  </si>
  <si>
    <t>Pflegende ohne BA, aber Berufserfahrung</t>
  </si>
  <si>
    <t>Statuswechsel</t>
  </si>
  <si>
    <t>Falls Verweildauer im Projekt größer als 7 Monate</t>
  </si>
  <si>
    <t>Umschulung</t>
  </si>
  <si>
    <t>Qualifizierung</t>
  </si>
  <si>
    <t>Sonstiges</t>
  </si>
  <si>
    <t xml:space="preserve">trifft nicht zu </t>
  </si>
  <si>
    <t>erhöht</t>
  </si>
  <si>
    <t>erhalten</t>
  </si>
  <si>
    <t>verringert</t>
  </si>
  <si>
    <t>Projektmodule</t>
  </si>
  <si>
    <t>Basismodule/Orientierung: Einsatz von Basismodulen zur Bedarfsklärung und Zielentwicklung</t>
  </si>
  <si>
    <t>Kontextklärung</t>
  </si>
  <si>
    <t>Kompetenzklärung</t>
  </si>
  <si>
    <t>Berufsorientierung</t>
  </si>
  <si>
    <t>Weitere/andere</t>
  </si>
  <si>
    <t>arbeitsmarktbezogen</t>
  </si>
  <si>
    <t>Selbstmarketing, Talentmarketing, Stellenrecherche</t>
  </si>
  <si>
    <t>Bewerbungsmodule, Bewerbungscoaching, Gehaltsverhandlungen</t>
  </si>
  <si>
    <t>Existenzgründungsseminare</t>
  </si>
  <si>
    <t>Training berufsrelevanter Basiskompetenzen</t>
  </si>
  <si>
    <t>personenbezogen</t>
  </si>
  <si>
    <t>Persönlichkeitsberatung, Training persönlicher und sozialer Kompetenzen</t>
  </si>
  <si>
    <t>Zeitmanagement</t>
  </si>
  <si>
    <t>Seminare für und mit (Ehe-)Partnern/-innen/Familienmodule</t>
  </si>
  <si>
    <t>Integrationsmaßnahmen</t>
  </si>
  <si>
    <t>Praktika, Hospitationen, Mentoring</t>
  </si>
  <si>
    <t>betriebliche Einarbeitung</t>
  </si>
  <si>
    <t>Anpassungs-/Umschulungs-/Weiterbildungsmaßnahmen</t>
  </si>
  <si>
    <t>Weiterbildung in Unternehmen</t>
  </si>
  <si>
    <t>Kursteilnahme erfolgreich abgeschlossen</t>
  </si>
  <si>
    <t xml:space="preserve">Qualifizierte Teilnahmebescheinigung liegt vor </t>
  </si>
  <si>
    <t>Mind. 5 Selbstlernmodule wurden erarbeitet</t>
  </si>
  <si>
    <t>HDL-Integration</t>
  </si>
  <si>
    <t>Ja, in Privathaushalt</t>
  </si>
  <si>
    <t>Ja, in anderen Bereich</t>
  </si>
  <si>
    <t>HDL-Integration anderer Bereich</t>
  </si>
  <si>
    <t>Institutioneller Bereich</t>
  </si>
  <si>
    <t>Bereich Private Pflege</t>
  </si>
  <si>
    <t>Sonstiger Bereich</t>
  </si>
  <si>
    <t>Beschäftigung</t>
  </si>
  <si>
    <t>Berufliche Integration</t>
  </si>
  <si>
    <t>In sv-pflichtige Beschäftigung</t>
  </si>
  <si>
    <t>In geförderte Beschäftigung</t>
  </si>
  <si>
    <t>In geringfügige Beschäftigung (Minijob)</t>
  </si>
  <si>
    <t>Keine berufliche Integration</t>
  </si>
  <si>
    <t>trifft nicht zu (z.B. Pflege)</t>
  </si>
  <si>
    <t>Beschäftigungsumfang</t>
  </si>
  <si>
    <t>unbefristetes Beschäftigungsverhältnis</t>
  </si>
  <si>
    <t>Integration in folgende Branche</t>
  </si>
  <si>
    <t>Ursprungsberuf</t>
  </si>
  <si>
    <t>in Ursprungsberuf vermittelt</t>
  </si>
  <si>
    <t>qualifikationsgerecht vermittelt</t>
  </si>
  <si>
    <t>Nachbetreuung</t>
  </si>
  <si>
    <t>Fand eine Nachbetreuung statt:</t>
  </si>
  <si>
    <t>Statuswechsel während Nachbetreuung</t>
  </si>
  <si>
    <t>sv-pflichtige Beschäftigung</t>
  </si>
  <si>
    <t>Selbstständigkeit</t>
  </si>
  <si>
    <t>Gescheiterter Wiedereinstieg</t>
  </si>
  <si>
    <t>Zeit  WE</t>
  </si>
  <si>
    <t>Arbeitslosigkeit</t>
  </si>
  <si>
    <t>Dauer der Arbeitslosigkeit</t>
  </si>
  <si>
    <t>während der Familienphase Erfahrungen in einem Minijob gemacht</t>
  </si>
  <si>
    <t>edu_attainment_vocational_experience</t>
  </si>
  <si>
    <t>edu_attainment_vocational_experience2</t>
  </si>
  <si>
    <t>end_measure_project_stay</t>
  </si>
  <si>
    <t>volume_of_acquisition</t>
  </si>
  <si>
    <t>base_modules_orientation</t>
  </si>
  <si>
    <t>labor_market_related_competence_training</t>
  </si>
  <si>
    <t>competence_training</t>
  </si>
  <si>
    <t>integration_measure</t>
  </si>
  <si>
    <t>pwe_online_participation_success</t>
  </si>
  <si>
    <t>pwe_online_participation_qualified</t>
  </si>
  <si>
    <t>pwe_online_self_study</t>
  </si>
  <si>
    <t>hdl_integration</t>
  </si>
  <si>
    <t>hdl_integration_misc</t>
  </si>
  <si>
    <t>professional_integration</t>
  </si>
  <si>
    <t>volume_of_employment</t>
  </si>
  <si>
    <t>permanent_contract</t>
  </si>
  <si>
    <t>integration_sector</t>
  </si>
  <si>
    <t>matched_origin_profession</t>
  </si>
  <si>
    <t>matched_qualifications</t>
  </si>
  <si>
    <t>after_care</t>
  </si>
  <si>
    <t>after_care_professional_integration</t>
  </si>
  <si>
    <t>hdl_used</t>
  </si>
  <si>
    <t>hdl_imaginable</t>
  </si>
  <si>
    <t>partner_integration_imaginable</t>
  </si>
  <si>
    <t>unbekannt</t>
  </si>
  <si>
    <t>lm_employment_category_unemployement_duration</t>
  </si>
  <si>
    <t>Auszählungen</t>
  </si>
  <si>
    <t>Eltern(teil) nicht in Deutschland geboren</t>
  </si>
  <si>
    <t>Programmspezifische Fragen zum Austritt</t>
  </si>
  <si>
    <t xml:space="preserve"> </t>
  </si>
  <si>
    <t>Geringfügig Selbständig</t>
  </si>
  <si>
    <t>lm_employment_category_selfemployed_reduced</t>
  </si>
  <si>
    <t>weniger als 1 Monat</t>
  </si>
  <si>
    <t>hh_employed_fp2</t>
  </si>
  <si>
    <t>hh_singleparent_fp2</t>
  </si>
  <si>
    <t>pwe_industry_fp2</t>
  </si>
  <si>
    <t>pwe_industry_fp2_erzieherin</t>
  </si>
  <si>
    <t>pwe_industry_fp2_nurse</t>
  </si>
  <si>
    <t>pwe_targetgroup_fp2</t>
  </si>
  <si>
    <t>pwe_targetgroup_parenttime_fp2</t>
  </si>
  <si>
    <t>pwe_targetgroup_parenttime_specialsupport_fp2</t>
  </si>
  <si>
    <t>hdl_integration_fp2</t>
  </si>
  <si>
    <t>integration_sector_fp2</t>
  </si>
  <si>
    <t>integration_sector_fp2_erzieherin</t>
  </si>
  <si>
    <t>integration_sector_fp2_nurse</t>
  </si>
  <si>
    <t>pwe_online_participation_success_fp2</t>
  </si>
  <si>
    <t>reason_early_exit</t>
  </si>
  <si>
    <t>2. Förderphase</t>
  </si>
  <si>
    <t>Zielgruppe 2FP</t>
  </si>
  <si>
    <t>Eintritte 2 FP</t>
  </si>
  <si>
    <t>Austritte 2 FP</t>
  </si>
  <si>
    <t>nur 1 FP</t>
  </si>
  <si>
    <t xml:space="preserve"> Land- und Forstwirtschaft, Fischerei</t>
  </si>
  <si>
    <t xml:space="preserve"> Information, Medien und Kommunikation</t>
  </si>
  <si>
    <t xml:space="preserve"> Öffentliche Verwaltung, Sozialversicherung</t>
  </si>
  <si>
    <t xml:space="preserve"> Bildung und Erziehung*</t>
  </si>
  <si>
    <t xml:space="preserve"> Gesundheits- und Sozialwesen*</t>
  </si>
  <si>
    <t xml:space="preserve"> Kunst, Unterhaltung und Erholung</t>
  </si>
  <si>
    <t xml:space="preserve"> Erbringung von sonstigen Dienstleistungen</t>
  </si>
  <si>
    <t xml:space="preserve"> Bergbau, Energie- und Wasserversorgung, Abwasser- und Abfallentsorgung, Baustoffe</t>
  </si>
  <si>
    <t xml:space="preserve"> Metall, Maschinenbau</t>
  </si>
  <si>
    <t xml:space="preserve"> Technik, Elektro und Technologiefelder</t>
  </si>
  <si>
    <t xml:space="preserve"> Handwerk, Textil, Bekleidung, Leder</t>
  </si>
  <si>
    <t xml:space="preserve"> Computer, IT</t>
  </si>
  <si>
    <t xml:space="preserve"> Dienstleistungen in privaten Haushalten</t>
  </si>
  <si>
    <t xml:space="preserve"> Baugewerbe und verarbeitendes Gewerbe</t>
  </si>
  <si>
    <t xml:space="preserve"> Einzel- und Großhandel</t>
  </si>
  <si>
    <t xml:space="preserve"> Verkehr, Logistik, Transport und Lagerei</t>
  </si>
  <si>
    <t xml:space="preserve"> Gastgewerbe, Tourismus, Freizeit</t>
  </si>
  <si>
    <t>Detail zu Bildung und Erziehung: War die Teilnehmende im Beruf Erzieher/in?*</t>
  </si>
  <si>
    <t>2FP</t>
  </si>
  <si>
    <t>keine Angabe, obwohl Branche "Bildung und Erziehung"</t>
  </si>
  <si>
    <t>Detail zu Gesundheits- und Sozialwesen: War die Teilnehmende im Beruf Pﬂeger/in?*</t>
  </si>
  <si>
    <t>keine Angabe, obwohl Branche "Gesundheits- und Sozialwesen"</t>
  </si>
  <si>
    <t>keine Angabe, obwohl TN 2 FP</t>
  </si>
  <si>
    <t>1FP</t>
  </si>
  <si>
    <t>Branche</t>
  </si>
  <si>
    <t>Austritte 2. FP</t>
  </si>
  <si>
    <t>Projektabbruch</t>
  </si>
  <si>
    <t>Vorzeitiger Programmerfolg (z. B. Arbeitsaufnahme)</t>
  </si>
  <si>
    <t>Vorzeitige Beendigung (z. B. aufgrund von Umzug, Schwangerschaft, Krankheit)</t>
  </si>
  <si>
    <t>&lt;&lt; angepasste Formel</t>
  </si>
  <si>
    <t>Vorzeitiger Programmaustritt</t>
  </si>
  <si>
    <t>Vorzeitige Beendigung</t>
  </si>
  <si>
    <t>Ja, in Privathaushalt als Selbstständige/r</t>
  </si>
  <si>
    <t>… davon in der 1. Förderphase</t>
  </si>
  <si>
    <t>… davon in der 2. Förderphase</t>
  </si>
  <si>
    <t>Nicht teilgenommen</t>
  </si>
  <si>
    <t>Teilnahme an PWE-Online &amp; mind. 1 Kurs wurde erfolgreich abgeschlossen</t>
  </si>
  <si>
    <t>… davon Pflegende Erwerbstätige</t>
  </si>
  <si>
    <t>… davon sv-pflichtig beschäftigte Frauen</t>
  </si>
  <si>
    <t>… davon Minijobberinnen</t>
  </si>
  <si>
    <t>… davon Teilnehmende am HDL-Zuschussmodell</t>
  </si>
  <si>
    <t>a) Wiedereinsteiger/innen in einer familienbedingten Erwerbspause</t>
  </si>
  <si>
    <t>b) Teilnahme HDL-Qualifizierung</t>
  </si>
  <si>
    <t>Perspektive Wiedereinstieg - Potenziale erschließen!</t>
  </si>
  <si>
    <t>Anzahl der Eintritte gesamt</t>
  </si>
  <si>
    <t>Anzahl der Austritte gesamt</t>
  </si>
  <si>
    <t>Hinweis: Jedes der folgenden Items wird einzeln beantwortet</t>
  </si>
  <si>
    <t>Selbstständig</t>
  </si>
  <si>
    <t>Allgemeinbildende Schule</t>
  </si>
  <si>
    <t>Bildungs- und Berufsabschluss</t>
  </si>
  <si>
    <t>keine Angabe, obwohl TN der 2 FP in EZ</t>
  </si>
  <si>
    <t>Besonderer Unterstützungsbedarf, da  Rückkehr zum Arbeitgeber nicht möglich</t>
  </si>
  <si>
    <t>Besonderer Unterstützungsbedarf, da Rückkehr zum Arbeitgeber nicht möglich</t>
  </si>
  <si>
    <t>Tatsächliches Austrittsdatum ist vor dem geplanten Austrittsdatum</t>
  </si>
  <si>
    <t>Erwerbsvolumen (Erwerbstätige) wurde</t>
  </si>
  <si>
    <t>Übergang von geringfügiger in sv-pfl. Beschäftigung (Minijob)</t>
  </si>
  <si>
    <t>Projektmodule (Mehrfachnennungen möglich)</t>
  </si>
  <si>
    <t>keine Angabe, obwohl vorzeitiger Austritt in 2 FP</t>
  </si>
  <si>
    <t>Angabe, obwohl 2FP</t>
  </si>
  <si>
    <r>
      <t xml:space="preserve">Hinweis: Die beiden folgendenden Indikatoren werden in der 2 FP freiwillig </t>
    </r>
    <r>
      <rPr>
        <i/>
        <sz val="11"/>
        <rFont val="Calibri"/>
        <family val="2"/>
        <scheme val="minor"/>
      </rPr>
      <t>angege</t>
    </r>
    <r>
      <rPr>
        <i/>
        <sz val="11"/>
        <color theme="1"/>
        <rFont val="Calibri"/>
        <family val="2"/>
        <scheme val="minor"/>
      </rPr>
      <t>ben</t>
    </r>
  </si>
  <si>
    <t>Selbständigkeit</t>
  </si>
  <si>
    <t>(V2.1)</t>
  </si>
  <si>
    <t>Hinweis: Die folgenden Items werden einzeln beantwortet.</t>
  </si>
  <si>
    <t>Vollzeitstudent/in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</si>
</sst>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2"/>
      <color theme="1"/>
      <name val="Arial"/>
      <family val="2"/>
    </font>
    <font>
      <i/>
      <sz val="1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/>
      </patternFill>
    </fill>
    <fill>
      <patternFill patternType="solid">
        <fgColor theme="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8">
    <xf numFmtId="0" fontId="0" fillId="0" borderId="0"/>
    <xf numFmtId="0" fontId="2" fillId="2" borderId="0" applyNumberFormat="0" applyBorder="0" applyAlignment="0" applyProtection="0"/>
    <xf numFmtId="9" fontId="5" fillId="0" borderId="0" applyFont="0" applyFill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" fillId="13" borderId="0" applyNumberFormat="0" applyBorder="0" applyAlignment="0" applyProtection="0"/>
  </cellStyleXfs>
  <cellXfs count="112">
    <xf numFmtId="0" fontId="0" fillId="0" borderId="0" xfId="0"/>
    <xf numFmtId="0" fontId="3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0" borderId="0" xfId="1" applyFont="1" applyFill="1" applyAlignment="1">
      <alignment horizontal="right"/>
    </xf>
    <xf numFmtId="0" fontId="0" fillId="0" borderId="0" xfId="1" applyFont="1" applyFill="1"/>
    <xf numFmtId="0" fontId="0" fillId="0" borderId="0" xfId="1" applyFont="1" applyFill="1" applyAlignment="1">
      <alignment horizontal="left"/>
    </xf>
    <xf numFmtId="0" fontId="0" fillId="0" borderId="0" xfId="0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0" fillId="3" borderId="0" xfId="0" applyFill="1"/>
    <xf numFmtId="0" fontId="0" fillId="3" borderId="0" xfId="0" applyFont="1" applyFill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left"/>
    </xf>
    <xf numFmtId="0" fontId="3" fillId="3" borderId="0" xfId="0" applyFont="1" applyFill="1"/>
    <xf numFmtId="0" fontId="4" fillId="0" borderId="0" xfId="0" applyFont="1"/>
    <xf numFmtId="0" fontId="6" fillId="0" borderId="0" xfId="0" applyFont="1" applyAlignment="1"/>
    <xf numFmtId="164" fontId="0" fillId="0" borderId="0" xfId="2" applyNumberFormat="1" applyFont="1"/>
    <xf numFmtId="0" fontId="7" fillId="0" borderId="0" xfId="0" applyFont="1" applyAlignment="1">
      <alignment horizontal="right"/>
    </xf>
    <xf numFmtId="0" fontId="0" fillId="0" borderId="0" xfId="0" quotePrefix="1"/>
    <xf numFmtId="0" fontId="8" fillId="0" borderId="0" xfId="0" applyFont="1"/>
    <xf numFmtId="0" fontId="9" fillId="4" borderId="0" xfId="0" applyFont="1" applyFill="1"/>
    <xf numFmtId="0" fontId="0" fillId="0" borderId="0" xfId="0" applyFont="1"/>
    <xf numFmtId="0" fontId="2" fillId="2" borderId="0" xfId="1" applyAlignment="1">
      <alignment horizontal="right"/>
    </xf>
    <xf numFmtId="0" fontId="2" fillId="2" borderId="0" xfId="1" applyAlignment="1">
      <alignment horizontal="left"/>
    </xf>
    <xf numFmtId="0" fontId="2" fillId="2" borderId="0" xfId="1"/>
    <xf numFmtId="0" fontId="2" fillId="2" borderId="0" xfId="1" applyAlignment="1">
      <alignment horizontal="left" vertical="top"/>
    </xf>
    <xf numFmtId="0" fontId="11" fillId="6" borderId="0" xfId="4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 vertical="top"/>
    </xf>
    <xf numFmtId="0" fontId="0" fillId="3" borderId="0" xfId="0" applyFont="1" applyFill="1" applyAlignment="1">
      <alignment horizontal="left" vertical="top"/>
    </xf>
    <xf numFmtId="0" fontId="0" fillId="0" borderId="0" xfId="0" applyAlignment="1">
      <alignment horizontal="left" vertical="top"/>
    </xf>
    <xf numFmtId="0" fontId="10" fillId="5" borderId="0" xfId="3"/>
    <xf numFmtId="0" fontId="12" fillId="7" borderId="0" xfId="0" applyFont="1" applyFill="1" applyAlignment="1">
      <alignment horizontal="left" vertical="top"/>
    </xf>
    <xf numFmtId="0" fontId="4" fillId="0" borderId="0" xfId="0" applyFont="1" applyFill="1"/>
    <xf numFmtId="0" fontId="10" fillId="5" borderId="0" xfId="3" applyAlignment="1">
      <alignment horizontal="left"/>
    </xf>
    <xf numFmtId="0" fontId="10" fillId="5" borderId="0" xfId="3" applyAlignment="1">
      <alignment horizontal="left" vertical="top"/>
    </xf>
    <xf numFmtId="14" fontId="13" fillId="0" borderId="0" xfId="0" applyNumberFormat="1" applyFont="1"/>
    <xf numFmtId="0" fontId="9" fillId="4" borderId="0" xfId="0" applyFont="1" applyFill="1" applyAlignment="1">
      <alignment horizontal="center"/>
    </xf>
    <xf numFmtId="0" fontId="15" fillId="9" borderId="0" xfId="6" applyFont="1"/>
    <xf numFmtId="0" fontId="15" fillId="8" borderId="0" xfId="5" applyFont="1"/>
    <xf numFmtId="0" fontId="8" fillId="9" borderId="0" xfId="6" applyFont="1"/>
    <xf numFmtId="0" fontId="0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9" fillId="7" borderId="0" xfId="0" applyFont="1" applyFill="1" applyAlignment="1">
      <alignment horizontal="center"/>
    </xf>
    <xf numFmtId="0" fontId="16" fillId="0" borderId="0" xfId="0" applyFont="1"/>
    <xf numFmtId="0" fontId="0" fillId="0" borderId="0" xfId="0" applyAlignment="1">
      <alignment wrapText="1"/>
    </xf>
    <xf numFmtId="0" fontId="0" fillId="10" borderId="0" xfId="0" applyFill="1" applyAlignment="1"/>
    <xf numFmtId="0" fontId="0" fillId="0" borderId="0" xfId="0" applyAlignment="1"/>
    <xf numFmtId="0" fontId="0" fillId="0" borderId="0" xfId="0" applyFill="1" applyAlignment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wrapText="1"/>
    </xf>
    <xf numFmtId="0" fontId="10" fillId="5" borderId="0" xfId="3" applyAlignment="1">
      <alignment horizontal="left" wrapText="1"/>
    </xf>
    <xf numFmtId="0" fontId="10" fillId="5" borderId="0" xfId="3" applyAlignment="1"/>
    <xf numFmtId="0" fontId="10" fillId="5" borderId="0" xfId="3" applyAlignment="1">
      <alignment horizontal="right"/>
    </xf>
    <xf numFmtId="0" fontId="4" fillId="2" borderId="0" xfId="1" applyFont="1"/>
    <xf numFmtId="15" fontId="0" fillId="0" borderId="0" xfId="0" quotePrefix="1" applyNumberFormat="1"/>
    <xf numFmtId="0" fontId="4" fillId="0" borderId="0" xfId="0" quotePrefix="1" applyFont="1"/>
    <xf numFmtId="0" fontId="0" fillId="11" borderId="0" xfId="0" applyFill="1"/>
    <xf numFmtId="0" fontId="0" fillId="11" borderId="0" xfId="0" applyFont="1" applyFill="1"/>
    <xf numFmtId="0" fontId="0" fillId="12" borderId="0" xfId="0" applyFill="1"/>
    <xf numFmtId="0" fontId="0" fillId="12" borderId="0" xfId="0" applyFont="1" applyFill="1"/>
    <xf numFmtId="0" fontId="0" fillId="0" borderId="0" xfId="0" applyFill="1"/>
    <xf numFmtId="0" fontId="4" fillId="2" borderId="0" xfId="1" applyFont="1" applyAlignment="1">
      <alignment horizontal="left" vertical="top"/>
    </xf>
    <xf numFmtId="0" fontId="4" fillId="2" borderId="0" xfId="1" applyFont="1" applyAlignment="1">
      <alignment horizontal="left"/>
    </xf>
    <xf numFmtId="0" fontId="4" fillId="2" borderId="0" xfId="1" applyFont="1" applyAlignment="1">
      <alignment horizontal="right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/>
    <xf numFmtId="0" fontId="0" fillId="0" borderId="0" xfId="0" applyNumberFormat="1"/>
    <xf numFmtId="0" fontId="0" fillId="13" borderId="1" xfId="7" applyFont="1" applyBorder="1" applyAlignment="1">
      <alignment horizontal="left"/>
    </xf>
    <xf numFmtId="0" fontId="5" fillId="13" borderId="1" xfId="7" applyFont="1" applyBorder="1" applyAlignment="1">
      <alignment horizontal="left"/>
    </xf>
    <xf numFmtId="0" fontId="4" fillId="6" borderId="0" xfId="4" applyFont="1"/>
    <xf numFmtId="0" fontId="4" fillId="0" borderId="0" xfId="0" applyFont="1" applyFill="1" applyAlignment="1">
      <alignment horizontal="right"/>
    </xf>
    <xf numFmtId="0" fontId="4" fillId="0" borderId="0" xfId="0" applyFont="1" applyFill="1" applyAlignme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wrapText="1"/>
    </xf>
    <xf numFmtId="0" fontId="7" fillId="12" borderId="0" xfId="0" applyFont="1" applyFill="1"/>
    <xf numFmtId="164" fontId="0" fillId="12" borderId="0" xfId="2" applyNumberFormat="1" applyFont="1" applyFill="1"/>
    <xf numFmtId="0" fontId="3" fillId="12" borderId="0" xfId="0" applyFont="1" applyFill="1"/>
    <xf numFmtId="0" fontId="0" fillId="15" borderId="0" xfId="0" applyFill="1"/>
    <xf numFmtId="0" fontId="0" fillId="15" borderId="0" xfId="0" applyFont="1" applyFill="1"/>
    <xf numFmtId="0" fontId="3" fillId="14" borderId="0" xfId="0" applyFont="1" applyFill="1" applyAlignment="1">
      <alignment horizontal="left" vertical="top"/>
    </xf>
    <xf numFmtId="0" fontId="3" fillId="14" borderId="0" xfId="0" applyFont="1" applyFill="1"/>
    <xf numFmtId="0" fontId="3" fillId="14" borderId="0" xfId="0" applyFont="1" applyFill="1" applyAlignment="1">
      <alignment horizontal="left"/>
    </xf>
    <xf numFmtId="164" fontId="0" fillId="0" borderId="0" xfId="2" applyNumberFormat="1" applyFont="1" applyFill="1"/>
    <xf numFmtId="0" fontId="3" fillId="16" borderId="0" xfId="0" applyFont="1" applyFill="1"/>
    <xf numFmtId="0" fontId="0" fillId="16" borderId="0" xfId="0" applyFill="1"/>
    <xf numFmtId="164" fontId="0" fillId="16" borderId="0" xfId="2" applyNumberFormat="1" applyFont="1" applyFill="1"/>
    <xf numFmtId="0" fontId="7" fillId="16" borderId="0" xfId="0" applyFont="1" applyFill="1"/>
    <xf numFmtId="0" fontId="0" fillId="16" borderId="0" xfId="0" applyFont="1" applyFill="1"/>
    <xf numFmtId="0" fontId="10" fillId="16" borderId="0" xfId="3" applyFill="1" applyAlignment="1">
      <alignment horizontal="left" wrapText="1"/>
    </xf>
    <xf numFmtId="0" fontId="10" fillId="16" borderId="0" xfId="3" applyFill="1" applyAlignment="1">
      <alignment horizontal="left"/>
    </xf>
    <xf numFmtId="0" fontId="10" fillId="16" borderId="0" xfId="3" applyFill="1" applyAlignment="1"/>
    <xf numFmtId="0" fontId="10" fillId="16" borderId="0" xfId="3" applyFill="1" applyAlignment="1">
      <alignment horizontal="right"/>
    </xf>
    <xf numFmtId="0" fontId="7" fillId="0" borderId="0" xfId="0" applyFont="1"/>
    <xf numFmtId="0" fontId="17" fillId="0" borderId="0" xfId="0" applyFont="1"/>
    <xf numFmtId="0" fontId="3" fillId="17" borderId="0" xfId="0" applyFont="1" applyFill="1"/>
    <xf numFmtId="0" fontId="0" fillId="17" borderId="0" xfId="0" applyFill="1"/>
    <xf numFmtId="164" fontId="0" fillId="17" borderId="0" xfId="2" applyNumberFormat="1" applyFont="1" applyFill="1"/>
    <xf numFmtId="0" fontId="7" fillId="17" borderId="0" xfId="0" applyFont="1" applyFill="1"/>
    <xf numFmtId="0" fontId="13" fillId="0" borderId="0" xfId="0" applyFont="1"/>
    <xf numFmtId="0" fontId="18" fillId="16" borderId="0" xfId="0" applyFont="1" applyFill="1"/>
    <xf numFmtId="164" fontId="13" fillId="17" borderId="0" xfId="2" applyNumberFormat="1" applyFont="1" applyFill="1"/>
    <xf numFmtId="164" fontId="0" fillId="0" borderId="0" xfId="0" applyNumberFormat="1" applyFill="1"/>
    <xf numFmtId="164" fontId="13" fillId="0" borderId="0" xfId="2" applyNumberFormat="1" applyFont="1"/>
    <xf numFmtId="0" fontId="6" fillId="0" borderId="0" xfId="0" applyFont="1" applyAlignment="1">
      <alignment horizontal="center"/>
    </xf>
    <xf numFmtId="0" fontId="9" fillId="7" borderId="0" xfId="0" applyFont="1" applyFill="1" applyAlignment="1">
      <alignment horizontal="center"/>
    </xf>
  </cellXfs>
  <cellStyles count="8">
    <cellStyle name="20 % - Akzent3" xfId="7" builtinId="38"/>
    <cellStyle name="Akzent1" xfId="5" builtinId="29"/>
    <cellStyle name="Akzent3" xfId="6" builtinId="37"/>
    <cellStyle name="Gut" xfId="3" builtinId="26"/>
    <cellStyle name="Neutral" xfId="1" builtinId="28"/>
    <cellStyle name="Prozent" xfId="2" builtinId="5"/>
    <cellStyle name="Schlecht" xfId="4" builtinId="27"/>
    <cellStyle name="Standard" xfId="0" builtinId="0"/>
  </cellStyles>
  <dxfs count="1">
    <dxf>
      <font>
        <color rgb="FF9C0006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Status</a:t>
            </a:r>
            <a:r>
              <a:rPr lang="de-DE" baseline="0"/>
              <a:t> bei Eintritt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(Überblick!$A$33,Überblick!$A$53:$A$54,Überblick!$A$58:$A$66)</c:f>
              <c:strCache>
                <c:ptCount val="12"/>
                <c:pt idx="0">
                  <c:v>Arbeitslos</c:v>
                </c:pt>
                <c:pt idx="1">
                  <c:v>Vollzeit erwerbstätig</c:v>
                </c:pt>
                <c:pt idx="2">
                  <c:v>Teilzeit erwerbstätig</c:v>
                </c:pt>
                <c:pt idx="3">
                  <c:v>Arbeitssuchend</c:v>
                </c:pt>
                <c:pt idx="4">
                  <c:v>Geringfügig beschäftigt</c:v>
                </c:pt>
                <c:pt idx="5">
                  <c:v>Selbstständig</c:v>
                </c:pt>
                <c:pt idx="6">
                  <c:v>Allgemeinbildende Schule</c:v>
                </c:pt>
                <c:pt idx="7">
                  <c:v>Auszubildende im Betrieb</c:v>
                </c:pt>
                <c:pt idx="8">
                  <c:v>In schulischer oder außerbetriebl. Ausb.</c:v>
                </c:pt>
                <c:pt idx="9">
                  <c:v>Vollzeitstudent/in</c:v>
                </c:pt>
                <c:pt idx="10">
                  <c:v>Sonstigen Aus- und Weiterbildung</c:v>
                </c:pt>
                <c:pt idx="11">
                  <c:v>Nicht erwerbstätig</c:v>
                </c:pt>
              </c:strCache>
            </c:strRef>
          </c:cat>
          <c:val>
            <c:numRef>
              <c:f>(Überblick!$C$35,Überblick!$C$53:$C$54,Überblick!$C$58:$C$66)</c:f>
              <c:numCache>
                <c:formatCode>0.0%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-25"/>
        <c:axId val="86406656"/>
        <c:axId val="86408192"/>
      </c:barChart>
      <c:catAx>
        <c:axId val="86406656"/>
        <c:scaling>
          <c:orientation val="maxMin"/>
        </c:scaling>
        <c:delete val="0"/>
        <c:axPos val="l"/>
        <c:majorTickMark val="none"/>
        <c:minorTickMark val="none"/>
        <c:tickLblPos val="nextTo"/>
        <c:crossAx val="86408192"/>
        <c:crosses val="autoZero"/>
        <c:auto val="1"/>
        <c:lblAlgn val="ctr"/>
        <c:lblOffset val="100"/>
        <c:noMultiLvlLbl val="0"/>
      </c:catAx>
      <c:valAx>
        <c:axId val="86408192"/>
        <c:scaling>
          <c:orientation val="minMax"/>
          <c:max val="1"/>
          <c:min val="0"/>
        </c:scaling>
        <c:delete val="0"/>
        <c:axPos val="t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.0%" sourceLinked="1"/>
        <c:majorTickMark val="none"/>
        <c:minorTickMark val="none"/>
        <c:tickLblPos val="nextTo"/>
        <c:spPr>
          <a:ln w="9525">
            <a:noFill/>
          </a:ln>
        </c:spPr>
        <c:crossAx val="86406656"/>
        <c:crosses val="autoZero"/>
        <c:crossBetween val="between"/>
        <c:majorUnit val="0.2"/>
      </c:valAx>
      <c:spPr>
        <a:ln>
          <a:solidFill>
            <a:schemeClr val="accent1"/>
          </a:solidFill>
        </a:ln>
      </c:spPr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Berufsbranchen</a:t>
            </a:r>
            <a:r>
              <a:rPr lang="de-DE" baseline="0"/>
              <a:t> der Teilnehmerinnen (nur 2. FP)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'PWE-Ausw'!$B$317</c:f>
              <c:strCache>
                <c:ptCount val="1"/>
                <c:pt idx="0">
                  <c:v>#NV</c:v>
                </c:pt>
              </c:strCache>
            </c:strRef>
          </c:tx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'PWE-Ausw'!$E$318:$E$334</c:f>
              <c:strCache>
                <c:ptCount val="17"/>
                <c:pt idx="0">
                  <c:v> Land- und Forstwirtschaft, Fischerei</c:v>
                </c:pt>
                <c:pt idx="1">
                  <c:v> Bergbau, Energie- und Wasserversorgung, Abwasser- und Abfallentsorgung, Baustoffe</c:v>
                </c:pt>
                <c:pt idx="2">
                  <c:v> Baugewerbe und verarbeitendes Gewerbe</c:v>
                </c:pt>
                <c:pt idx="3">
                  <c:v> Einzel- und Großhandel</c:v>
                </c:pt>
                <c:pt idx="4">
                  <c:v> Verkehr, Logistik, Transport und Lagerei</c:v>
                </c:pt>
                <c:pt idx="5">
                  <c:v> Gastgewerbe, Tourismus, Freizeit</c:v>
                </c:pt>
                <c:pt idx="6">
                  <c:v> Information, Medien und Kommunikation</c:v>
                </c:pt>
                <c:pt idx="7">
                  <c:v> Öffentliche Verwaltung, Sozialversicherung</c:v>
                </c:pt>
                <c:pt idx="8">
                  <c:v> Bildung und Erziehung*</c:v>
                </c:pt>
                <c:pt idx="9">
                  <c:v> Gesundheits- und Sozialwesen*</c:v>
                </c:pt>
                <c:pt idx="10">
                  <c:v> Kunst, Unterhaltung und Erholung</c:v>
                </c:pt>
                <c:pt idx="11">
                  <c:v> Erbringung von sonstigen Dienstleistungen</c:v>
                </c:pt>
                <c:pt idx="12">
                  <c:v> Metall, Maschinenbau</c:v>
                </c:pt>
                <c:pt idx="13">
                  <c:v> Technik, Elektro und Technologiefelder</c:v>
                </c:pt>
                <c:pt idx="14">
                  <c:v> Handwerk, Textil, Bekleidung, Leder</c:v>
                </c:pt>
                <c:pt idx="15">
                  <c:v> Computer, IT</c:v>
                </c:pt>
                <c:pt idx="16">
                  <c:v> Dienstleistungen in privaten Haushalten</c:v>
                </c:pt>
              </c:strCache>
            </c:strRef>
          </c:cat>
          <c:val>
            <c:numRef>
              <c:f>'PWE-Ausw'!$G$318:$G$334</c:f>
              <c:numCache>
                <c:formatCode>0.0%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0"/>
          <c:order val="1"/>
          <c:tx>
            <c:strRef>
              <c:f>'PWE-Ausw'!$B$150</c:f>
              <c:strCache>
                <c:ptCount val="1"/>
                <c:pt idx="0">
                  <c:v>#NV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'PWE-Ausw'!$E$318:$E$334</c:f>
              <c:strCache>
                <c:ptCount val="17"/>
                <c:pt idx="0">
                  <c:v> Land- und Forstwirtschaft, Fischerei</c:v>
                </c:pt>
                <c:pt idx="1">
                  <c:v> Bergbau, Energie- und Wasserversorgung, Abwasser- und Abfallentsorgung, Baustoffe</c:v>
                </c:pt>
                <c:pt idx="2">
                  <c:v> Baugewerbe und verarbeitendes Gewerbe</c:v>
                </c:pt>
                <c:pt idx="3">
                  <c:v> Einzel- und Großhandel</c:v>
                </c:pt>
                <c:pt idx="4">
                  <c:v> Verkehr, Logistik, Transport und Lagerei</c:v>
                </c:pt>
                <c:pt idx="5">
                  <c:v> Gastgewerbe, Tourismus, Freizeit</c:v>
                </c:pt>
                <c:pt idx="6">
                  <c:v> Information, Medien und Kommunikation</c:v>
                </c:pt>
                <c:pt idx="7">
                  <c:v> Öffentliche Verwaltung, Sozialversicherung</c:v>
                </c:pt>
                <c:pt idx="8">
                  <c:v> Bildung und Erziehung*</c:v>
                </c:pt>
                <c:pt idx="9">
                  <c:v> Gesundheits- und Sozialwesen*</c:v>
                </c:pt>
                <c:pt idx="10">
                  <c:v> Kunst, Unterhaltung und Erholung</c:v>
                </c:pt>
                <c:pt idx="11">
                  <c:v> Erbringung von sonstigen Dienstleistungen</c:v>
                </c:pt>
                <c:pt idx="12">
                  <c:v> Metall, Maschinenbau</c:v>
                </c:pt>
                <c:pt idx="13">
                  <c:v> Technik, Elektro und Technologiefelder</c:v>
                </c:pt>
                <c:pt idx="14">
                  <c:v> Handwerk, Textil, Bekleidung, Leder</c:v>
                </c:pt>
                <c:pt idx="15">
                  <c:v> Computer, IT</c:v>
                </c:pt>
                <c:pt idx="16">
                  <c:v> Dienstleistungen in privaten Haushalten</c:v>
                </c:pt>
              </c:strCache>
            </c:strRef>
          </c:cat>
          <c:val>
            <c:numRef>
              <c:f>'PWE-Ausw'!$G$151:$G$167</c:f>
              <c:numCache>
                <c:formatCode>0.0%</c:formatCode>
                <c:ptCount val="17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87564672"/>
        <c:axId val="87566208"/>
      </c:barChart>
      <c:catAx>
        <c:axId val="87564672"/>
        <c:scaling>
          <c:orientation val="minMax"/>
        </c:scaling>
        <c:delete val="0"/>
        <c:axPos val="l"/>
        <c:majorTickMark val="none"/>
        <c:minorTickMark val="none"/>
        <c:tickLblPos val="nextTo"/>
        <c:crossAx val="87566208"/>
        <c:crosses val="autoZero"/>
        <c:auto val="1"/>
        <c:lblAlgn val="ctr"/>
        <c:lblOffset val="100"/>
        <c:noMultiLvlLbl val="0"/>
      </c:catAx>
      <c:valAx>
        <c:axId val="87566208"/>
        <c:scaling>
          <c:orientation val="minMax"/>
        </c:scaling>
        <c:delete val="0"/>
        <c:axPos val="b"/>
        <c:majorGridlines/>
        <c:numFmt formatCode="0.0%" sourceLinked="1"/>
        <c:majorTickMark val="none"/>
        <c:minorTickMark val="none"/>
        <c:tickLblPos val="nextTo"/>
        <c:crossAx val="875646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>
      <c:oddHeader>&amp;ZAuswertung der Teilnehmenden im ESF-Programm</c:oddHeader>
    </c:headerFooter>
    <c:pageMargins b="0.78740157499999996" l="0.7" r="0.7" t="0.78740157499999996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67</xdr:row>
      <xdr:rowOff>19050</xdr:rowOff>
    </xdr:from>
    <xdr:to>
      <xdr:col>2</xdr:col>
      <xdr:colOff>685800</xdr:colOff>
      <xdr:row>67</xdr:row>
      <xdr:rowOff>3933825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203</xdr:row>
      <xdr:rowOff>123825</xdr:rowOff>
    </xdr:from>
    <xdr:to>
      <xdr:col>2</xdr:col>
      <xdr:colOff>638175</xdr:colOff>
      <xdr:row>235</xdr:row>
      <xdr:rowOff>638176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1828800</xdr:colOff>
      <xdr:row>1</xdr:row>
      <xdr:rowOff>104775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28800" cy="847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6"/>
  <sheetViews>
    <sheetView tabSelected="1" view="pageLayout" zoomScaleNormal="100" workbookViewId="0">
      <selection activeCell="A3" sqref="A3:C3"/>
    </sheetView>
  </sheetViews>
  <sheetFormatPr baseColWidth="10" defaultRowHeight="15" x14ac:dyDescent="0.25"/>
  <cols>
    <col min="1" max="1" width="66.28515625" customWidth="1"/>
    <col min="2" max="3" width="10.5703125" customWidth="1"/>
  </cols>
  <sheetData>
    <row r="1" spans="1:4" ht="58.5" customHeight="1" x14ac:dyDescent="0.35">
      <c r="A1" s="18" t="s">
        <v>338</v>
      </c>
      <c r="B1" s="18"/>
      <c r="C1" s="18"/>
      <c r="D1" s="18"/>
    </row>
    <row r="2" spans="1:4" ht="25.5" customHeight="1" x14ac:dyDescent="0.35">
      <c r="A2" s="110" t="s">
        <v>105</v>
      </c>
      <c r="B2" s="110"/>
      <c r="C2" s="110"/>
      <c r="D2" s="18"/>
    </row>
    <row r="3" spans="1:4" ht="25.5" customHeight="1" x14ac:dyDescent="0.35">
      <c r="A3" s="110" t="s">
        <v>404</v>
      </c>
      <c r="B3" s="110"/>
      <c r="C3" s="110"/>
      <c r="D3" s="18"/>
    </row>
    <row r="4" spans="1:4" x14ac:dyDescent="0.25">
      <c r="A4" s="1"/>
    </row>
    <row r="5" spans="1:4" x14ac:dyDescent="0.25">
      <c r="A5" s="1" t="s">
        <v>116</v>
      </c>
      <c r="C5" s="47" t="s">
        <v>422</v>
      </c>
    </row>
    <row r="6" spans="1:4" x14ac:dyDescent="0.25">
      <c r="A6" s="24" t="s">
        <v>132</v>
      </c>
      <c r="B6" t="str">
        <f>Metadaten!$B$1</f>
        <v>PWE</v>
      </c>
    </row>
    <row r="7" spans="1:4" x14ac:dyDescent="0.25">
      <c r="A7" t="s">
        <v>104</v>
      </c>
      <c r="B7" s="39">
        <f>Metadaten!$B$2</f>
        <v>43707</v>
      </c>
    </row>
    <row r="8" spans="1:4" x14ac:dyDescent="0.25">
      <c r="A8" t="str">
        <f>CONCATENATE("Filtertyp: ",Metadaten!$B$4)</f>
        <v>Filtertyp: Start innerhalb des Zeitraums</v>
      </c>
    </row>
    <row r="9" spans="1:4" x14ac:dyDescent="0.25">
      <c r="A9" t="s">
        <v>131</v>
      </c>
      <c r="B9" s="39">
        <f>IF(ISBLANK(Metadaten!$B$5),"keine Eingrenzung",Metadaten!$B$5)</f>
        <v>42005</v>
      </c>
    </row>
    <row r="10" spans="1:4" x14ac:dyDescent="0.25">
      <c r="A10" t="s">
        <v>106</v>
      </c>
      <c r="B10" s="39">
        <f>IF(ISBLANK(Metadaten!$B$6),"keine Eingrenzung",Metadaten!$B$6)</f>
        <v>43707</v>
      </c>
    </row>
    <row r="11" spans="1:4" x14ac:dyDescent="0.25">
      <c r="B11" s="17"/>
    </row>
    <row r="12" spans="1:4" x14ac:dyDescent="0.25">
      <c r="A12" s="1" t="s">
        <v>405</v>
      </c>
      <c r="B12" s="1" t="e">
        <f>COUNTIF(INDEX(Rohdaten!$A$2:$GG$19999,,MATCH("start_date",Rohdaten!$1:$1,)),"&gt;0")</f>
        <v>#N/A</v>
      </c>
    </row>
    <row r="13" spans="1:4" x14ac:dyDescent="0.25">
      <c r="A13" s="94" t="s">
        <v>394</v>
      </c>
      <c r="B13" s="91" t="e">
        <f>COUNTIF(INDEX(Rohdaten!$A$2:$GG$19999,,MATCH("year_of_entry",Rohdaten!$1:$1,)),"&lt;=2018")</f>
        <v>#N/A</v>
      </c>
      <c r="C13" s="91"/>
    </row>
    <row r="14" spans="1:4" x14ac:dyDescent="0.25">
      <c r="A14" s="94" t="s">
        <v>395</v>
      </c>
      <c r="B14" s="91" t="e">
        <f>COUNTIF(INDEX(Rohdaten!$A$2:$GG$19999,,MATCH("year_of_entry",Rohdaten!$1:$1,)),"&gt;2018")</f>
        <v>#N/A</v>
      </c>
      <c r="C14" s="91"/>
    </row>
    <row r="15" spans="1:4" x14ac:dyDescent="0.25">
      <c r="A15" s="1" t="s">
        <v>406</v>
      </c>
      <c r="B15" s="1" t="e">
        <f>COUNTIF(INDEX(Rohdaten!$A$2:$GG$19999,,MATCH("end_date",Rohdaten!$1:$1,)),"&gt;0")</f>
        <v>#N/A</v>
      </c>
    </row>
    <row r="16" spans="1:4" x14ac:dyDescent="0.25">
      <c r="A16" s="64" t="s">
        <v>394</v>
      </c>
      <c r="B16" s="63" t="e">
        <f>COUNTIF(INDEX(Rohdaten!$A$2:$GG$19999,,MATCH("year_of_exit",Rohdaten!$1:$1,)),"&lt;=2018")</f>
        <v>#N/A</v>
      </c>
      <c r="C16" s="63"/>
    </row>
    <row r="17" spans="1:3" x14ac:dyDescent="0.25">
      <c r="A17" s="64" t="s">
        <v>395</v>
      </c>
      <c r="B17" s="63" t="e">
        <f>COUNTIF(INDEX(Rohdaten!$A$2:$GG$19999,,MATCH("year_of_exit",Rohdaten!$1:$1,)),"&gt;2018")</f>
        <v>#N/A</v>
      </c>
      <c r="C17" s="63"/>
    </row>
    <row r="20" spans="1:3" ht="18.75" x14ac:dyDescent="0.3">
      <c r="A20" s="40" t="s">
        <v>138</v>
      </c>
      <c r="B20" s="23" t="e">
        <f>CONCATENATE("Eintritte: ",B12)</f>
        <v>#N/A</v>
      </c>
      <c r="C20" s="23"/>
    </row>
    <row r="21" spans="1:3" ht="18.75" x14ac:dyDescent="0.3">
      <c r="A21" s="42" t="s">
        <v>118</v>
      </c>
      <c r="B21" s="42"/>
      <c r="C21" s="42"/>
    </row>
    <row r="22" spans="1:3" x14ac:dyDescent="0.25">
      <c r="A22" s="1" t="s">
        <v>44</v>
      </c>
      <c r="B22" s="20" t="s">
        <v>107</v>
      </c>
      <c r="C22" s="20" t="s">
        <v>108</v>
      </c>
    </row>
    <row r="23" spans="1:3" x14ac:dyDescent="0.25">
      <c r="A23" t="str">
        <f>'ESF-Ausw'!D4</f>
        <v>weiblich</v>
      </c>
      <c r="B23" t="e">
        <f>'ESF-Ausw'!E4</f>
        <v>#N/A</v>
      </c>
      <c r="C23" s="19" t="e">
        <f>B23/$B$12</f>
        <v>#N/A</v>
      </c>
    </row>
    <row r="24" spans="1:3" x14ac:dyDescent="0.25">
      <c r="A24" t="str">
        <f>'ESF-Ausw'!D5</f>
        <v>männlich</v>
      </c>
      <c r="B24" t="e">
        <f>'ESF-Ausw'!E5</f>
        <v>#N/A</v>
      </c>
      <c r="C24" s="19" t="e">
        <f>B24/$B$12</f>
        <v>#N/A</v>
      </c>
    </row>
    <row r="25" spans="1:3" x14ac:dyDescent="0.25">
      <c r="C25" s="19"/>
    </row>
    <row r="26" spans="1:3" x14ac:dyDescent="0.25">
      <c r="A26" s="1" t="s">
        <v>103</v>
      </c>
      <c r="C26" s="19"/>
    </row>
    <row r="27" spans="1:3" x14ac:dyDescent="0.25">
      <c r="A27" t="str">
        <f>'ESF-Ausw'!D78</f>
        <v>unter 20</v>
      </c>
      <c r="B27" t="e">
        <f>'ESF-Ausw'!E78</f>
        <v>#N/A</v>
      </c>
      <c r="C27" s="19" t="e">
        <f>B27/$B$12</f>
        <v>#N/A</v>
      </c>
    </row>
    <row r="28" spans="1:3" x14ac:dyDescent="0.25">
      <c r="A28" t="str">
        <f>'ESF-Ausw'!D79</f>
        <v>20 bis 29</v>
      </c>
      <c r="B28" t="e">
        <f>'ESF-Ausw'!E79</f>
        <v>#N/A</v>
      </c>
      <c r="C28" s="19" t="e">
        <f>B28/$B$12</f>
        <v>#N/A</v>
      </c>
    </row>
    <row r="29" spans="1:3" x14ac:dyDescent="0.25">
      <c r="A29" t="str">
        <f>'ESF-Ausw'!D80</f>
        <v>30 bis 39</v>
      </c>
      <c r="B29" t="e">
        <f>'ESF-Ausw'!E80</f>
        <v>#N/A</v>
      </c>
      <c r="C29" s="19" t="e">
        <f>B29/$B$12</f>
        <v>#N/A</v>
      </c>
    </row>
    <row r="30" spans="1:3" x14ac:dyDescent="0.25">
      <c r="A30" t="str">
        <f>'ESF-Ausw'!D81</f>
        <v>ab 40</v>
      </c>
      <c r="B30" t="e">
        <f>'ESF-Ausw'!E81</f>
        <v>#N/A</v>
      </c>
      <c r="C30" s="19" t="e">
        <f>B30/$B$12</f>
        <v>#N/A</v>
      </c>
    </row>
    <row r="32" spans="1:3" ht="18.75" x14ac:dyDescent="0.3">
      <c r="A32" s="22" t="s">
        <v>119</v>
      </c>
      <c r="C32" s="19"/>
    </row>
    <row r="33" spans="1:3" x14ac:dyDescent="0.25">
      <c r="A33" s="1" t="str">
        <f>'ESF-Ausw'!A43</f>
        <v>Arbeitslos</v>
      </c>
      <c r="C33" s="19"/>
    </row>
    <row r="34" spans="1:3" x14ac:dyDescent="0.25">
      <c r="A34" t="str">
        <f>'ESF-Ausw'!D44</f>
        <v>Nein</v>
      </c>
      <c r="B34" t="e">
        <f>'ESF-Ausw'!E44</f>
        <v>#N/A</v>
      </c>
      <c r="C34" s="19" t="e">
        <f t="shared" ref="C34:C105" si="0">B34/$B$12</f>
        <v>#N/A</v>
      </c>
    </row>
    <row r="35" spans="1:3" x14ac:dyDescent="0.25">
      <c r="A35" t="str">
        <f>'ESF-Ausw'!D45</f>
        <v>Ja</v>
      </c>
      <c r="B35" t="e">
        <f>'ESF-Ausw'!E45</f>
        <v>#N/A</v>
      </c>
      <c r="C35" s="19" t="e">
        <f t="shared" si="0"/>
        <v>#N/A</v>
      </c>
    </row>
    <row r="37" spans="1:3" x14ac:dyDescent="0.25">
      <c r="A37" s="1" t="str">
        <f>'PWE-Ausw'!B125</f>
        <v>Dauer der Arbeitslosigkeit</v>
      </c>
      <c r="C37" s="19"/>
    </row>
    <row r="38" spans="1:3" x14ac:dyDescent="0.25">
      <c r="A38" t="str">
        <f>'PWE-Ausw'!E125</f>
        <v>keine Angabe</v>
      </c>
      <c r="B38" t="e">
        <f>'PWE-Ausw'!F125</f>
        <v>#N/A</v>
      </c>
      <c r="C38" s="19" t="e">
        <f>B38/$B$12</f>
        <v>#N/A</v>
      </c>
    </row>
    <row r="39" spans="1:3" x14ac:dyDescent="0.25">
      <c r="A39" t="str">
        <f>'PWE-Ausw'!E126</f>
        <v>weniger als 1 Monat</v>
      </c>
      <c r="B39" t="e">
        <f>'PWE-Ausw'!F126</f>
        <v>#N/A</v>
      </c>
      <c r="C39" s="19" t="e">
        <f>B39/$B$12</f>
        <v>#N/A</v>
      </c>
    </row>
    <row r="40" spans="1:3" x14ac:dyDescent="0.25">
      <c r="A40" t="str">
        <f>'PWE-Ausw'!E127</f>
        <v>1 bis 6 Monate</v>
      </c>
      <c r="B40" t="e">
        <f>'PWE-Ausw'!F127</f>
        <v>#N/A</v>
      </c>
      <c r="C40" s="19" t="e">
        <f t="shared" si="0"/>
        <v>#N/A</v>
      </c>
    </row>
    <row r="41" spans="1:3" x14ac:dyDescent="0.25">
      <c r="A41" t="str">
        <f>'PWE-Ausw'!E128</f>
        <v>7 bis 12 Monate</v>
      </c>
      <c r="B41" t="e">
        <f>'PWE-Ausw'!F128</f>
        <v>#N/A</v>
      </c>
      <c r="C41" s="19" t="e">
        <f t="shared" si="0"/>
        <v>#N/A</v>
      </c>
    </row>
    <row r="42" spans="1:3" x14ac:dyDescent="0.25">
      <c r="A42" t="str">
        <f>'PWE-Ausw'!E129</f>
        <v>13 bis 24 Monate</v>
      </c>
      <c r="B42" t="e">
        <f>'PWE-Ausw'!F129</f>
        <v>#N/A</v>
      </c>
      <c r="C42" s="19" t="e">
        <f t="shared" si="0"/>
        <v>#N/A</v>
      </c>
    </row>
    <row r="43" spans="1:3" x14ac:dyDescent="0.25">
      <c r="A43" t="str">
        <f>'PWE-Ausw'!E130</f>
        <v>mehr als 24 Monate</v>
      </c>
      <c r="B43" t="e">
        <f>'PWE-Ausw'!F130</f>
        <v>#N/A</v>
      </c>
      <c r="C43" s="19" t="e">
        <f>B43/$B$12</f>
        <v>#N/A</v>
      </c>
    </row>
    <row r="44" spans="1:3" ht="26.25" customHeight="1" x14ac:dyDescent="0.25"/>
    <row r="45" spans="1:3" x14ac:dyDescent="0.25">
      <c r="A45" s="1" t="str">
        <f>'ESF-Ausw'!A38</f>
        <v>Arbeitslosengeld</v>
      </c>
      <c r="C45" s="19"/>
    </row>
    <row r="46" spans="1:3" x14ac:dyDescent="0.25">
      <c r="A46" t="str">
        <f>'ESF-Ausw'!D39</f>
        <v>Nein</v>
      </c>
      <c r="B46" t="e">
        <f>'ESF-Ausw'!E39</f>
        <v>#N/A</v>
      </c>
      <c r="C46" s="19" t="e">
        <f t="shared" si="0"/>
        <v>#N/A</v>
      </c>
    </row>
    <row r="47" spans="1:3" x14ac:dyDescent="0.25">
      <c r="A47" t="str">
        <f>'ESF-Ausw'!D40</f>
        <v>Ja, von der Agentur für Arbeit (Arbeitslosengeld)</v>
      </c>
      <c r="B47" t="e">
        <f>'ESF-Ausw'!E40</f>
        <v>#N/A</v>
      </c>
      <c r="C47" s="19" t="e">
        <f t="shared" si="0"/>
        <v>#N/A</v>
      </c>
    </row>
    <row r="48" spans="1:3" x14ac:dyDescent="0.25">
      <c r="A48" t="str">
        <f>'ESF-Ausw'!D41</f>
        <v>Ja, vom Jobcenter (Arbeitslosengeld II/Hartz IV)</v>
      </c>
      <c r="B48" t="e">
        <f>'ESF-Ausw'!E41</f>
        <v>#N/A</v>
      </c>
      <c r="C48" s="19" t="e">
        <f t="shared" si="0"/>
        <v>#N/A</v>
      </c>
    </row>
    <row r="49" spans="1:3" x14ac:dyDescent="0.25">
      <c r="A49" t="str">
        <f>'ESF-Ausw'!D42</f>
        <v>Ja, gleichzeitiger Bezug von Arbeitslosengeld I und Arbeitslosengeld II</v>
      </c>
      <c r="B49" t="e">
        <f>'ESF-Ausw'!E42</f>
        <v>#N/A</v>
      </c>
      <c r="C49" s="19" t="e">
        <f t="shared" si="0"/>
        <v>#N/A</v>
      </c>
    </row>
    <row r="51" spans="1:3" x14ac:dyDescent="0.25">
      <c r="A51" s="1" t="str">
        <f>'ESF-Ausw'!A49</f>
        <v>Erwerbstätig</v>
      </c>
      <c r="C51" s="19"/>
    </row>
    <row r="52" spans="1:3" x14ac:dyDescent="0.25">
      <c r="A52" t="str">
        <f>'ESF-Ausw'!D50</f>
        <v>Nein</v>
      </c>
      <c r="B52" t="e">
        <f>'ESF-Ausw'!E50</f>
        <v>#N/A</v>
      </c>
      <c r="C52" s="19" t="e">
        <f t="shared" si="0"/>
        <v>#N/A</v>
      </c>
    </row>
    <row r="53" spans="1:3" x14ac:dyDescent="0.25">
      <c r="A53" t="str">
        <f>'ESF-Ausw'!D51</f>
        <v>Vollzeit erwerbstätig</v>
      </c>
      <c r="B53" t="e">
        <f>'ESF-Ausw'!E51</f>
        <v>#N/A</v>
      </c>
      <c r="C53" s="19" t="e">
        <f t="shared" si="0"/>
        <v>#N/A</v>
      </c>
    </row>
    <row r="54" spans="1:3" x14ac:dyDescent="0.25">
      <c r="A54" t="str">
        <f>'ESF-Ausw'!D52</f>
        <v>Teilzeit erwerbstätig</v>
      </c>
      <c r="B54" t="e">
        <f>'ESF-Ausw'!E52</f>
        <v>#N/A</v>
      </c>
      <c r="C54" s="19" t="e">
        <f t="shared" si="0"/>
        <v>#N/A</v>
      </c>
    </row>
    <row r="55" spans="1:3" ht="24" customHeight="1" x14ac:dyDescent="0.25"/>
    <row r="56" spans="1:3" x14ac:dyDescent="0.25">
      <c r="A56" s="1" t="s">
        <v>120</v>
      </c>
      <c r="C56" s="19"/>
    </row>
    <row r="57" spans="1:3" x14ac:dyDescent="0.25">
      <c r="A57" s="99" t="s">
        <v>407</v>
      </c>
      <c r="C57" s="19"/>
    </row>
    <row r="58" spans="1:3" x14ac:dyDescent="0.25">
      <c r="A58" s="24" t="str">
        <f>'ESF-Ausw'!A46</f>
        <v>Arbeitssuchend</v>
      </c>
      <c r="B58" t="e">
        <f>'ESF-Ausw'!E47</f>
        <v>#N/A</v>
      </c>
      <c r="C58" s="19" t="e">
        <f t="shared" si="0"/>
        <v>#N/A</v>
      </c>
    </row>
    <row r="59" spans="1:3" x14ac:dyDescent="0.25">
      <c r="A59" t="str">
        <f>'ESF-Ausw'!A53</f>
        <v>Geringfügig beschäftigt</v>
      </c>
      <c r="B59" t="e">
        <f>'ESF-Ausw'!E55</f>
        <v>#N/A</v>
      </c>
      <c r="C59" s="19" t="e">
        <f t="shared" si="0"/>
        <v>#N/A</v>
      </c>
    </row>
    <row r="60" spans="1:3" x14ac:dyDescent="0.25">
      <c r="A60" t="str">
        <f>'ESF-Ausw'!A56</f>
        <v>Selbstständig</v>
      </c>
      <c r="B60" t="e">
        <f>'ESF-Ausw'!E58</f>
        <v>#N/A</v>
      </c>
      <c r="C60" s="19" t="e">
        <f t="shared" si="0"/>
        <v>#N/A</v>
      </c>
    </row>
    <row r="61" spans="1:3" x14ac:dyDescent="0.25">
      <c r="A61" t="str">
        <f>'ESF-Ausw'!A59</f>
        <v>Allgemeinbildende Schule</v>
      </c>
      <c r="B61" t="e">
        <f>'ESF-Ausw'!E61</f>
        <v>#N/A</v>
      </c>
      <c r="C61" s="19" t="e">
        <f t="shared" si="0"/>
        <v>#N/A</v>
      </c>
    </row>
    <row r="62" spans="1:3" x14ac:dyDescent="0.25">
      <c r="A62" t="str">
        <f>'ESF-Ausw'!A62</f>
        <v>Auszubildende im Betrieb</v>
      </c>
      <c r="B62" t="e">
        <f>'ESF-Ausw'!E64</f>
        <v>#N/A</v>
      </c>
      <c r="C62" s="19" t="e">
        <f t="shared" si="0"/>
        <v>#N/A</v>
      </c>
    </row>
    <row r="63" spans="1:3" x14ac:dyDescent="0.25">
      <c r="A63" t="str">
        <f>'ESF-Ausw'!A65</f>
        <v>In schulischer oder außerbetriebl. Ausb.</v>
      </c>
      <c r="B63" t="e">
        <f>'ESF-Ausw'!E67</f>
        <v>#N/A</v>
      </c>
      <c r="C63" s="19" t="e">
        <f t="shared" si="0"/>
        <v>#N/A</v>
      </c>
    </row>
    <row r="64" spans="1:3" x14ac:dyDescent="0.25">
      <c r="A64" t="str">
        <f>'ESF-Ausw'!A68</f>
        <v>Vollzeitstudent/in</v>
      </c>
      <c r="B64" t="e">
        <f>'ESF-Ausw'!E70</f>
        <v>#N/A</v>
      </c>
      <c r="C64" s="19" t="e">
        <f t="shared" si="0"/>
        <v>#N/A</v>
      </c>
    </row>
    <row r="65" spans="1:3" x14ac:dyDescent="0.25">
      <c r="A65" t="str">
        <f>'ESF-Ausw'!A72</f>
        <v>Sonstigen Aus- und Weiterbildung</v>
      </c>
      <c r="B65" t="e">
        <f>'ESF-Ausw'!E74</f>
        <v>#N/A</v>
      </c>
      <c r="C65" s="19" t="e">
        <f t="shared" si="0"/>
        <v>#N/A</v>
      </c>
    </row>
    <row r="66" spans="1:3" x14ac:dyDescent="0.25">
      <c r="A66" t="str">
        <f>'ESF-Ausw'!A75</f>
        <v>Nicht erwerbstätig</v>
      </c>
      <c r="B66" t="e">
        <f>'ESF-Ausw'!E77</f>
        <v>#N/A</v>
      </c>
      <c r="C66" s="19" t="e">
        <f t="shared" si="0"/>
        <v>#N/A</v>
      </c>
    </row>
    <row r="67" spans="1:3" x14ac:dyDescent="0.25">
      <c r="C67" s="19"/>
    </row>
    <row r="68" spans="1:3" ht="313.5" customHeight="1" x14ac:dyDescent="0.25">
      <c r="C68" s="19"/>
    </row>
    <row r="69" spans="1:3" x14ac:dyDescent="0.25">
      <c r="C69" s="19"/>
    </row>
    <row r="70" spans="1:3" ht="18.75" x14ac:dyDescent="0.3">
      <c r="A70" s="22" t="s">
        <v>410</v>
      </c>
      <c r="C70" s="19"/>
    </row>
    <row r="71" spans="1:3" x14ac:dyDescent="0.25">
      <c r="A71" s="1" t="s">
        <v>101</v>
      </c>
      <c r="C71" s="19"/>
    </row>
    <row r="72" spans="1:3" x14ac:dyDescent="0.25">
      <c r="A72" t="str">
        <f>'ESF-Ausw'!D22</f>
        <v>(Noch) kein Schulabschluss und mindestens 4 Jahre eine Schule besucht</v>
      </c>
      <c r="B72" t="e">
        <f>'ESF-Ausw'!E22</f>
        <v>#N/A</v>
      </c>
      <c r="C72" s="19" t="e">
        <f t="shared" si="0"/>
        <v>#N/A</v>
      </c>
    </row>
    <row r="73" spans="1:3" x14ac:dyDescent="0.25">
      <c r="A73" t="str">
        <f>'ESF-Ausw'!D23</f>
        <v>(Noch) kein Schulabschluss und weniger als 4 Jahre eine Schule besucht</v>
      </c>
      <c r="B73" t="e">
        <f>'ESF-Ausw'!E23</f>
        <v>#N/A</v>
      </c>
      <c r="C73" s="19" t="e">
        <f t="shared" si="0"/>
        <v>#N/A</v>
      </c>
    </row>
    <row r="74" spans="1:3" x14ac:dyDescent="0.25">
      <c r="A74" t="str">
        <f>'ESF-Ausw'!D24</f>
        <v>Förderschulabschluss</v>
      </c>
      <c r="B74" t="e">
        <f>'ESF-Ausw'!E24</f>
        <v>#N/A</v>
      </c>
      <c r="C74" s="19" t="e">
        <f t="shared" si="0"/>
        <v>#N/A</v>
      </c>
    </row>
    <row r="75" spans="1:3" x14ac:dyDescent="0.25">
      <c r="A75" t="str">
        <f>'ESF-Ausw'!D25</f>
        <v>Hauptschulabschluss</v>
      </c>
      <c r="B75" t="e">
        <f>'ESF-Ausw'!E25</f>
        <v>#N/A</v>
      </c>
      <c r="C75" s="19" t="e">
        <f t="shared" si="0"/>
        <v>#N/A</v>
      </c>
    </row>
    <row r="76" spans="1:3" x14ac:dyDescent="0.25">
      <c r="A76" t="str">
        <f>'ESF-Ausw'!D26</f>
        <v>Mittlerer Schulabschluss (Realschulabschluss, Fachoberschulreife)</v>
      </c>
      <c r="B76" t="e">
        <f>'ESF-Ausw'!E26</f>
        <v>#N/A</v>
      </c>
      <c r="C76" s="19" t="e">
        <f t="shared" si="0"/>
        <v>#N/A</v>
      </c>
    </row>
    <row r="77" spans="1:3" x14ac:dyDescent="0.25">
      <c r="A77" t="str">
        <f>'ESF-Ausw'!D27</f>
        <v xml:space="preserve">Berufsvorbereitungsjahr/Berufsorientierungsjahr/Ausbildungsvorbereitungsjahr </v>
      </c>
      <c r="B77" t="e">
        <f>'ESF-Ausw'!E27</f>
        <v>#N/A</v>
      </c>
      <c r="C77" s="19" t="e">
        <f t="shared" si="0"/>
        <v>#N/A</v>
      </c>
    </row>
    <row r="78" spans="1:3" x14ac:dyDescent="0.25">
      <c r="A78" t="str">
        <f>'ESF-Ausw'!D28</f>
        <v>Berufsgrundbildungsjahr (Anerkennung als 1. Ausbildungsjahr möglich)</v>
      </c>
      <c r="B78" t="e">
        <f>'ESF-Ausw'!E28</f>
        <v>#N/A</v>
      </c>
      <c r="C78" s="19" t="e">
        <f t="shared" si="0"/>
        <v>#N/A</v>
      </c>
    </row>
    <row r="79" spans="1:3" x14ac:dyDescent="0.25">
      <c r="A79" t="str">
        <f>'ESF-Ausw'!D29</f>
        <v xml:space="preserve">Abitur/Fachhochschulreife erworben auf dem 1. Bildungsweg </v>
      </c>
      <c r="B79" t="e">
        <f>'ESF-Ausw'!E29</f>
        <v>#N/A</v>
      </c>
      <c r="C79" s="19" t="e">
        <f t="shared" si="0"/>
        <v>#N/A</v>
      </c>
    </row>
    <row r="80" spans="1:3" x14ac:dyDescent="0.25">
      <c r="A80" t="str">
        <f>'ESF-Ausw'!D30</f>
        <v xml:space="preserve">Abitur/Fachhochschulreife erworben auf dem 2. Bildungsweg </v>
      </c>
      <c r="B80" t="e">
        <f>'ESF-Ausw'!E30</f>
        <v>#N/A</v>
      </c>
      <c r="C80" s="19" t="e">
        <f t="shared" si="0"/>
        <v>#N/A</v>
      </c>
    </row>
    <row r="81" spans="1:3" x14ac:dyDescent="0.25">
      <c r="A81" t="str">
        <f>'ESF-Ausw'!D31</f>
        <v>(Noch) kein Schulabschluss, Dauer des Schulbesuchs unbek.</v>
      </c>
      <c r="B81" t="e">
        <f>'ESF-Ausw'!E31</f>
        <v>#N/A</v>
      </c>
      <c r="C81" s="19" t="e">
        <f t="shared" si="0"/>
        <v>#N/A</v>
      </c>
    </row>
    <row r="82" spans="1:3" ht="28.5" customHeight="1" x14ac:dyDescent="0.25"/>
    <row r="83" spans="1:3" x14ac:dyDescent="0.25">
      <c r="A83" s="1" t="str">
        <f>'ESF-Ausw'!A32</f>
        <v>Höchster Berufsabschluss</v>
      </c>
      <c r="C83" s="19"/>
    </row>
    <row r="84" spans="1:3" x14ac:dyDescent="0.25">
      <c r="A84" t="str">
        <f>'ESF-Ausw'!D33</f>
        <v>(Noch) keine abgeschlossene Berufsausbildung</v>
      </c>
      <c r="B84" t="e">
        <f>'ESF-Ausw'!E33</f>
        <v>#N/A</v>
      </c>
      <c r="C84" s="19" t="e">
        <f t="shared" si="0"/>
        <v>#N/A</v>
      </c>
    </row>
    <row r="85" spans="1:3" x14ac:dyDescent="0.25">
      <c r="A85" t="str">
        <f>'ESF-Ausw'!D34</f>
        <v>(Außer-)betriebliche Lehre/Ausbildung, Berufsfachschule, sonstige schulische BA</v>
      </c>
      <c r="B85" t="e">
        <f>'ESF-Ausw'!E34</f>
        <v>#N/A</v>
      </c>
      <c r="C85" s="19" t="e">
        <f t="shared" si="0"/>
        <v>#N/A</v>
      </c>
    </row>
    <row r="86" spans="1:3" x14ac:dyDescent="0.25">
      <c r="A86" t="str">
        <f>'ESF-Ausw'!D35</f>
        <v>Fachhochschulabschluss Bachelor/Diplom, Meisterbrief oder  gleichwertiges Zertifikat</v>
      </c>
      <c r="B86" t="e">
        <f>'ESF-Ausw'!E35</f>
        <v>#N/A</v>
      </c>
      <c r="C86" s="19" t="e">
        <f t="shared" si="0"/>
        <v>#N/A</v>
      </c>
    </row>
    <row r="87" spans="1:3" x14ac:dyDescent="0.25">
      <c r="A87" t="str">
        <f>'ESF-Ausw'!D36</f>
        <v>(Fach-)Hochschulabschluss Master, Diplom-Universitätsstudiengang</v>
      </c>
      <c r="B87" t="e">
        <f>'ESF-Ausw'!E36</f>
        <v>#N/A</v>
      </c>
      <c r="C87" s="19" t="e">
        <f t="shared" si="0"/>
        <v>#N/A</v>
      </c>
    </row>
    <row r="88" spans="1:3" x14ac:dyDescent="0.25">
      <c r="A88" t="str">
        <f>'ESF-Ausw'!D37</f>
        <v>Promotion</v>
      </c>
      <c r="B88" t="e">
        <f>'ESF-Ausw'!E37</f>
        <v>#N/A</v>
      </c>
      <c r="C88" s="19" t="e">
        <f t="shared" si="0"/>
        <v>#N/A</v>
      </c>
    </row>
    <row r="90" spans="1:3" ht="18.75" x14ac:dyDescent="0.3">
      <c r="A90" s="22" t="s">
        <v>148</v>
      </c>
      <c r="C90" s="19"/>
    </row>
    <row r="91" spans="1:3" x14ac:dyDescent="0.25">
      <c r="A91" s="1" t="str">
        <f>'PWE-Ausw'!B3</f>
        <v>Deutsche Staatsangehörigkeit</v>
      </c>
      <c r="C91" s="19"/>
    </row>
    <row r="92" spans="1:3" x14ac:dyDescent="0.25">
      <c r="A92" t="str">
        <f>'PWE-Ausw'!E3</f>
        <v>keine Angabe</v>
      </c>
      <c r="B92" t="e">
        <f>'PWE-Ausw'!F3</f>
        <v>#N/A</v>
      </c>
      <c r="C92" s="19" t="e">
        <f t="shared" si="0"/>
        <v>#N/A</v>
      </c>
    </row>
    <row r="93" spans="1:3" x14ac:dyDescent="0.25">
      <c r="A93" t="str">
        <f>'PWE-Ausw'!E4</f>
        <v>Nein</v>
      </c>
      <c r="B93" t="e">
        <f>'PWE-Ausw'!F4</f>
        <v>#N/A</v>
      </c>
      <c r="C93" s="19" t="e">
        <f t="shared" si="0"/>
        <v>#N/A</v>
      </c>
    </row>
    <row r="94" spans="1:3" x14ac:dyDescent="0.25">
      <c r="A94" t="str">
        <f>'PWE-Ausw'!E5</f>
        <v>Ja</v>
      </c>
      <c r="B94" t="e">
        <f>'PWE-Ausw'!F5</f>
        <v>#N/A</v>
      </c>
      <c r="C94" s="19" t="e">
        <f t="shared" si="0"/>
        <v>#N/A</v>
      </c>
    </row>
    <row r="96" spans="1:3" x14ac:dyDescent="0.25">
      <c r="A96" s="1" t="str">
        <f>'ESF-Ausw'!A9</f>
        <v>Eltern(teil) nicht in Deutschland geboren</v>
      </c>
      <c r="C96" s="19"/>
    </row>
    <row r="97" spans="1:3" x14ac:dyDescent="0.25">
      <c r="A97" t="str">
        <f>'ESF-Ausw'!D9</f>
        <v>keine Angabe</v>
      </c>
      <c r="B97" t="e">
        <f>'ESF-Ausw'!E9</f>
        <v>#N/A</v>
      </c>
      <c r="C97" s="19" t="e">
        <f>B97/$B$12</f>
        <v>#N/A</v>
      </c>
    </row>
    <row r="98" spans="1:3" x14ac:dyDescent="0.25">
      <c r="A98" t="str">
        <f>'ESF-Ausw'!D10</f>
        <v>Nein</v>
      </c>
      <c r="B98" t="e">
        <f>'ESF-Ausw'!E10</f>
        <v>#N/A</v>
      </c>
      <c r="C98" s="19" t="e">
        <f>B98/$B$12</f>
        <v>#N/A</v>
      </c>
    </row>
    <row r="99" spans="1:3" x14ac:dyDescent="0.25">
      <c r="A99" t="str">
        <f>'ESF-Ausw'!D11</f>
        <v>Ja</v>
      </c>
      <c r="B99" t="e">
        <f>'ESF-Ausw'!E11</f>
        <v>#N/A</v>
      </c>
      <c r="C99" s="19" t="e">
        <f>B99/$B$12</f>
        <v>#N/A</v>
      </c>
    </row>
    <row r="101" spans="1:3" ht="18.75" x14ac:dyDescent="0.3">
      <c r="A101" s="22" t="s">
        <v>114</v>
      </c>
      <c r="C101" s="19"/>
    </row>
    <row r="102" spans="1:3" x14ac:dyDescent="0.25">
      <c r="A102" s="1" t="str">
        <f>'ESF-Ausw'!A6</f>
        <v>Schwerbehindertenausweis</v>
      </c>
      <c r="C102" s="19"/>
    </row>
    <row r="103" spans="1:3" x14ac:dyDescent="0.25">
      <c r="A103" t="str">
        <f>'ESF-Ausw'!D6</f>
        <v>keine Angabe</v>
      </c>
      <c r="B103" t="e">
        <f>'ESF-Ausw'!E6</f>
        <v>#N/A</v>
      </c>
      <c r="C103" s="19" t="e">
        <f t="shared" si="0"/>
        <v>#N/A</v>
      </c>
    </row>
    <row r="104" spans="1:3" x14ac:dyDescent="0.25">
      <c r="A104" t="str">
        <f>'ESF-Ausw'!D7</f>
        <v>Nein</v>
      </c>
      <c r="B104" t="e">
        <f>'ESF-Ausw'!E7</f>
        <v>#N/A</v>
      </c>
      <c r="C104" s="19" t="e">
        <f t="shared" si="0"/>
        <v>#N/A</v>
      </c>
    </row>
    <row r="105" spans="1:3" x14ac:dyDescent="0.25">
      <c r="A105" t="str">
        <f>'ESF-Ausw'!D8</f>
        <v>Ja</v>
      </c>
      <c r="B105" t="e">
        <f>'ESF-Ausw'!E8</f>
        <v>#N/A</v>
      </c>
      <c r="C105" s="19" t="e">
        <f t="shared" si="0"/>
        <v>#N/A</v>
      </c>
    </row>
    <row r="107" spans="1:3" x14ac:dyDescent="0.25">
      <c r="A107" s="1" t="str">
        <f>'ESF-Ausw'!A12</f>
        <v>anerkannte Minderheit</v>
      </c>
      <c r="C107" s="19"/>
    </row>
    <row r="108" spans="1:3" x14ac:dyDescent="0.25">
      <c r="A108" t="str">
        <f>'ESF-Ausw'!D12</f>
        <v>keine Angabe</v>
      </c>
      <c r="B108" t="e">
        <f>'ESF-Ausw'!E12</f>
        <v>#N/A</v>
      </c>
      <c r="C108" s="19" t="e">
        <f t="shared" ref="C108:C115" si="1">B108/$B$12</f>
        <v>#N/A</v>
      </c>
    </row>
    <row r="109" spans="1:3" x14ac:dyDescent="0.25">
      <c r="A109" t="str">
        <f>'ESF-Ausw'!D13</f>
        <v>Nein</v>
      </c>
      <c r="B109" t="e">
        <f>'ESF-Ausw'!E13</f>
        <v>#N/A</v>
      </c>
      <c r="C109" s="19" t="e">
        <f t="shared" si="1"/>
        <v>#N/A</v>
      </c>
    </row>
    <row r="110" spans="1:3" x14ac:dyDescent="0.25">
      <c r="A110" t="str">
        <f>'ESF-Ausw'!D14</f>
        <v>Ja</v>
      </c>
      <c r="B110" t="e">
        <f>'ESF-Ausw'!E14</f>
        <v>#N/A</v>
      </c>
      <c r="C110" s="19" t="e">
        <f t="shared" si="1"/>
        <v>#N/A</v>
      </c>
    </row>
    <row r="112" spans="1:3" x14ac:dyDescent="0.25">
      <c r="A112" s="1" t="str">
        <f>'ESF-Ausw'!A15</f>
        <v>Sonstige Benachteiligungen</v>
      </c>
      <c r="C112" s="19"/>
    </row>
    <row r="113" spans="1:3" x14ac:dyDescent="0.25">
      <c r="A113" t="str">
        <f>'ESF-Ausw'!D15</f>
        <v>keine Angabe</v>
      </c>
      <c r="B113" s="65" t="e">
        <f>'ESF-Ausw'!E15</f>
        <v>#N/A</v>
      </c>
      <c r="C113" s="89" t="e">
        <f t="shared" si="1"/>
        <v>#N/A</v>
      </c>
    </row>
    <row r="114" spans="1:3" x14ac:dyDescent="0.25">
      <c r="A114" t="str">
        <f>'ESF-Ausw'!D16</f>
        <v>Nein</v>
      </c>
      <c r="B114" s="65" t="e">
        <f>'ESF-Ausw'!E16</f>
        <v>#N/A</v>
      </c>
      <c r="C114" s="89" t="e">
        <f t="shared" si="1"/>
        <v>#N/A</v>
      </c>
    </row>
    <row r="115" spans="1:3" x14ac:dyDescent="0.25">
      <c r="A115" t="str">
        <f>'ESF-Ausw'!D17</f>
        <v>Ja</v>
      </c>
      <c r="B115" s="65" t="e">
        <f>'ESF-Ausw'!E17</f>
        <v>#N/A</v>
      </c>
      <c r="C115" s="89" t="e">
        <f t="shared" si="1"/>
        <v>#N/A</v>
      </c>
    </row>
    <row r="117" spans="1:3" ht="18.75" x14ac:dyDescent="0.3">
      <c r="A117" s="42" t="s">
        <v>139</v>
      </c>
      <c r="B117" s="42"/>
      <c r="C117" s="42"/>
    </row>
    <row r="118" spans="1:3" ht="18.75" x14ac:dyDescent="0.3">
      <c r="A118" s="22"/>
      <c r="C118" s="19"/>
    </row>
    <row r="119" spans="1:3" x14ac:dyDescent="0.25">
      <c r="A119" s="90" t="str">
        <f>'PWE-Ausw'!B6</f>
        <v>Zielgruppe</v>
      </c>
      <c r="B119" s="91"/>
      <c r="C119" s="92"/>
    </row>
    <row r="120" spans="1:3" x14ac:dyDescent="0.25">
      <c r="A120" s="106" t="e">
        <f>CONCATENATE("[Filter]: TN der 1 Förderphase (n=",SUM(B121:B124),")")</f>
        <v>#N/A</v>
      </c>
      <c r="B120" s="91"/>
      <c r="C120" s="92"/>
    </row>
    <row r="121" spans="1:3" x14ac:dyDescent="0.25">
      <c r="A121" s="91" t="str">
        <f>'PWE-Ausw'!E7</f>
        <v>Gut qualifizierte Kernzielgruppe</v>
      </c>
      <c r="B121" s="91" t="e">
        <f>'PWE-Ausw'!F7</f>
        <v>#N/A</v>
      </c>
      <c r="C121" s="92" t="e">
        <f>B121/$B$13</f>
        <v>#N/A</v>
      </c>
    </row>
    <row r="122" spans="1:3" x14ac:dyDescent="0.25">
      <c r="A122" s="91" t="str">
        <f>'PWE-Ausw'!E8</f>
        <v>Pflege</v>
      </c>
      <c r="B122" s="91" t="e">
        <f>'PWE-Ausw'!F8</f>
        <v>#N/A</v>
      </c>
      <c r="C122" s="92" t="e">
        <f t="shared" ref="C122:C124" si="2">B122/$B$13</f>
        <v>#N/A</v>
      </c>
    </row>
    <row r="123" spans="1:3" x14ac:dyDescent="0.25">
      <c r="A123" s="91" t="str">
        <f>'PWE-Ausw'!E9</f>
        <v>Minijob</v>
      </c>
      <c r="B123" s="91" t="e">
        <f>'PWE-Ausw'!F9</f>
        <v>#N/A</v>
      </c>
      <c r="C123" s="92" t="e">
        <f t="shared" si="2"/>
        <v>#N/A</v>
      </c>
    </row>
    <row r="124" spans="1:3" x14ac:dyDescent="0.25">
      <c r="A124" s="91" t="str">
        <f>'PWE-Ausw'!E10</f>
        <v>HDL</v>
      </c>
      <c r="B124" s="91" t="e">
        <f>'PWE-Ausw'!F10</f>
        <v>#N/A</v>
      </c>
      <c r="C124" s="92" t="e">
        <f t="shared" si="2"/>
        <v>#N/A</v>
      </c>
    </row>
    <row r="126" spans="1:3" x14ac:dyDescent="0.25">
      <c r="A126" s="83" t="s">
        <v>157</v>
      </c>
      <c r="B126" s="63"/>
      <c r="C126" s="82"/>
    </row>
    <row r="127" spans="1:3" x14ac:dyDescent="0.25">
      <c r="A127" s="81" t="e">
        <f>'PWE-Ausw'!H141</f>
        <v>#N/A</v>
      </c>
      <c r="B127" s="63"/>
      <c r="C127" s="82"/>
    </row>
    <row r="128" spans="1:3" x14ac:dyDescent="0.25">
      <c r="A128" s="63" t="str">
        <f>'PWE-Ausw'!E142</f>
        <v>a) Wiedereinsteiger/innen in einer familienbedingten Erwerbspause</v>
      </c>
      <c r="B128" s="63" t="e">
        <f>'PWE-Ausw'!F142</f>
        <v>#N/A</v>
      </c>
      <c r="C128" s="82" t="e">
        <f t="shared" ref="C128:C134" si="3">B128/SUM($B$128:$B$134)</f>
        <v>#N/A</v>
      </c>
    </row>
    <row r="129" spans="1:3" x14ac:dyDescent="0.25">
      <c r="A129" s="63" t="str">
        <f>'PWE-Ausw'!E143</f>
        <v>b) Teilnahme HDL-Qualifizierung</v>
      </c>
      <c r="B129" s="63" t="e">
        <f>'PWE-Ausw'!F143</f>
        <v>#N/A</v>
      </c>
      <c r="C129" s="82" t="e">
        <f t="shared" si="3"/>
        <v>#N/A</v>
      </c>
    </row>
    <row r="130" spans="1:3" x14ac:dyDescent="0.25">
      <c r="A130" s="63" t="e">
        <f>'PWE-Ausw'!E144</f>
        <v>#N/A</v>
      </c>
      <c r="B130" s="63"/>
      <c r="C130" s="82"/>
    </row>
    <row r="131" spans="1:3" x14ac:dyDescent="0.25">
      <c r="A131" s="63" t="str">
        <f>'PWE-Ausw'!E145</f>
        <v>… davon Pflegende Erwerbstätige</v>
      </c>
      <c r="B131" s="63" t="e">
        <f>'PWE-Ausw'!F145</f>
        <v>#N/A</v>
      </c>
      <c r="C131" s="82" t="e">
        <f t="shared" si="3"/>
        <v>#N/A</v>
      </c>
    </row>
    <row r="132" spans="1:3" x14ac:dyDescent="0.25">
      <c r="A132" s="63" t="str">
        <f>'PWE-Ausw'!E146</f>
        <v>… davon sv-pflichtig beschäftigte Frauen</v>
      </c>
      <c r="B132" s="63" t="e">
        <f>'PWE-Ausw'!F146</f>
        <v>#N/A</v>
      </c>
      <c r="C132" s="82" t="e">
        <f t="shared" si="3"/>
        <v>#N/A</v>
      </c>
    </row>
    <row r="133" spans="1:3" x14ac:dyDescent="0.25">
      <c r="A133" s="63" t="str">
        <f>'PWE-Ausw'!E147</f>
        <v>… davon Minijobberinnen</v>
      </c>
      <c r="B133" s="63" t="e">
        <f>'PWE-Ausw'!F147</f>
        <v>#N/A</v>
      </c>
      <c r="C133" s="82" t="e">
        <f t="shared" si="3"/>
        <v>#N/A</v>
      </c>
    </row>
    <row r="134" spans="1:3" x14ac:dyDescent="0.25">
      <c r="A134" s="63" t="str">
        <f>'PWE-Ausw'!E148</f>
        <v>… davon Teilnehmende am HDL-Zuschussmodell</v>
      </c>
      <c r="B134" s="63" t="e">
        <f>'PWE-Ausw'!F148</f>
        <v>#N/A</v>
      </c>
      <c r="C134" s="82" t="e">
        <f t="shared" si="3"/>
        <v>#N/A</v>
      </c>
    </row>
    <row r="136" spans="1:3" x14ac:dyDescent="0.25">
      <c r="A136" s="1" t="str">
        <f>'PWE-Ausw'!B15</f>
        <v>Familienphase hat stattgefunden</v>
      </c>
      <c r="C136" s="19"/>
    </row>
    <row r="137" spans="1:3" x14ac:dyDescent="0.25">
      <c r="A137" t="str">
        <f>'PWE-Ausw'!E16</f>
        <v>Nein</v>
      </c>
      <c r="B137" t="e">
        <f>'PWE-Ausw'!F16</f>
        <v>#N/A</v>
      </c>
      <c r="C137" s="19" t="e">
        <f t="shared" ref="C137:C181" si="4">B137/$B$12</f>
        <v>#N/A</v>
      </c>
    </row>
    <row r="138" spans="1:3" x14ac:dyDescent="0.25">
      <c r="A138" t="str">
        <f>'PWE-Ausw'!E17</f>
        <v>Ja</v>
      </c>
      <c r="B138" t="e">
        <f>'PWE-Ausw'!F17</f>
        <v>#N/A</v>
      </c>
      <c r="C138" s="19" t="e">
        <f t="shared" si="4"/>
        <v>#N/A</v>
      </c>
    </row>
    <row r="139" spans="1:3" x14ac:dyDescent="0.25">
      <c r="C139" s="19"/>
    </row>
    <row r="140" spans="1:3" x14ac:dyDescent="0.25">
      <c r="A140" s="1" t="str">
        <f>'PWE-Ausw'!B18</f>
        <v>Teilnehmende in Elternzeit (Vollzeit)/ Sonderurlauber/innen, mit einem Rückkehranspruch</v>
      </c>
      <c r="C140" s="19"/>
    </row>
    <row r="141" spans="1:3" x14ac:dyDescent="0.25">
      <c r="A141" t="str">
        <f>'PWE-Ausw'!E19</f>
        <v>Nein</v>
      </c>
      <c r="B141" t="e">
        <f>'PWE-Ausw'!F19+'PWE-Ausw'!F186</f>
        <v>#N/A</v>
      </c>
      <c r="C141" s="19" t="e">
        <f t="shared" si="4"/>
        <v>#N/A</v>
      </c>
    </row>
    <row r="142" spans="1:3" x14ac:dyDescent="0.25">
      <c r="A142" t="str">
        <f>'PWE-Ausw'!E20</f>
        <v>Ja</v>
      </c>
      <c r="B142" t="e">
        <f>'PWE-Ausw'!F20+'PWE-Ausw'!F187</f>
        <v>#N/A</v>
      </c>
      <c r="C142" s="19" t="e">
        <f t="shared" si="4"/>
        <v>#N/A</v>
      </c>
    </row>
    <row r="143" spans="1:3" x14ac:dyDescent="0.25">
      <c r="A143" t="str">
        <f>'PWE-Ausw'!E21</f>
        <v>Nicht erhoben</v>
      </c>
      <c r="B143" t="e">
        <f>'PWE-Ausw'!F21+'PWE-Ausw'!F188</f>
        <v>#N/A</v>
      </c>
      <c r="C143" s="19" t="e">
        <f t="shared" si="4"/>
        <v>#N/A</v>
      </c>
    </row>
    <row r="144" spans="1:3" x14ac:dyDescent="0.25">
      <c r="A144" t="str">
        <f>'PWE-Ausw'!E22</f>
        <v>Trifft nicht zu</v>
      </c>
      <c r="B144" t="e">
        <f>'PWE-Ausw'!F22+'PWE-Ausw'!F189</f>
        <v>#N/A</v>
      </c>
      <c r="C144" s="19" t="e">
        <f t="shared" si="4"/>
        <v>#N/A</v>
      </c>
    </row>
    <row r="146" spans="1:3" x14ac:dyDescent="0.25">
      <c r="A146" s="1" t="str">
        <f>'PWE-Ausw'!B23</f>
        <v>Besonderer Unterstützungsbedarf, da Rückkehr zum Arbeitgeber nicht möglich</v>
      </c>
      <c r="C146" s="19"/>
    </row>
    <row r="147" spans="1:3" x14ac:dyDescent="0.25">
      <c r="A147" s="99" t="e">
        <f>CONCATENATE("[Filter]: TN in Elternzeit (n=",B142,")")</f>
        <v>#N/A</v>
      </c>
      <c r="C147" s="19"/>
    </row>
    <row r="148" spans="1:3" x14ac:dyDescent="0.25">
      <c r="A148" t="str">
        <f>'PWE-Ausw'!E24</f>
        <v>Nicht erhoben</v>
      </c>
      <c r="B148" s="105" t="e">
        <f>'PWE-Ausw'!F24+'PWE-Ausw'!F192</f>
        <v>#N/A</v>
      </c>
      <c r="C148" s="19" t="e">
        <f>B148/$B$142</f>
        <v>#N/A</v>
      </c>
    </row>
    <row r="149" spans="1:3" x14ac:dyDescent="0.25">
      <c r="A149" t="str">
        <f>'PWE-Ausw'!E25</f>
        <v>Vereinbarkeitsgründen</v>
      </c>
      <c r="B149" s="105" t="e">
        <f>'PWE-Ausw'!F25+'PWE-Ausw'!F193</f>
        <v>#N/A</v>
      </c>
      <c r="C149" s="19" t="e">
        <f t="shared" ref="C149:C150" si="5">B149/$B$142</f>
        <v>#N/A</v>
      </c>
    </row>
    <row r="150" spans="1:3" x14ac:dyDescent="0.25">
      <c r="A150" t="str">
        <f>'PWE-Ausw'!E26</f>
        <v>Arbeitgeberseitigen Gründen</v>
      </c>
      <c r="B150" s="105" t="e">
        <f>'PWE-Ausw'!F26+'PWE-Ausw'!F194</f>
        <v>#N/A</v>
      </c>
      <c r="C150" s="19" t="e">
        <f t="shared" si="5"/>
        <v>#N/A</v>
      </c>
    </row>
    <row r="152" spans="1:3" x14ac:dyDescent="0.25">
      <c r="A152" s="1" t="str">
        <f>'PWE-Ausw'!B30</f>
        <v>Kernzielgruppe ohne BA, aber Berufserfahrung</v>
      </c>
      <c r="C152" s="19"/>
    </row>
    <row r="153" spans="1:3" x14ac:dyDescent="0.25">
      <c r="A153" t="str">
        <f>'PWE-Ausw'!E30</f>
        <v>keine Angabe</v>
      </c>
      <c r="B153" t="e">
        <f>'PWE-Ausw'!F30</f>
        <v>#N/A</v>
      </c>
      <c r="C153" s="19" t="e">
        <f t="shared" si="4"/>
        <v>#N/A</v>
      </c>
    </row>
    <row r="154" spans="1:3" x14ac:dyDescent="0.25">
      <c r="A154" t="str">
        <f>'PWE-Ausw'!E31</f>
        <v>Nein</v>
      </c>
      <c r="B154" t="e">
        <f>'PWE-Ausw'!F31</f>
        <v>#N/A</v>
      </c>
      <c r="C154" s="19" t="e">
        <f t="shared" si="4"/>
        <v>#N/A</v>
      </c>
    </row>
    <row r="155" spans="1:3" x14ac:dyDescent="0.25">
      <c r="A155" t="str">
        <f>'PWE-Ausw'!E32</f>
        <v>Ja</v>
      </c>
      <c r="B155" t="e">
        <f>'PWE-Ausw'!F32</f>
        <v>#N/A</v>
      </c>
      <c r="C155" s="19" t="e">
        <f t="shared" si="4"/>
        <v>#N/A</v>
      </c>
    </row>
    <row r="157" spans="1:3" x14ac:dyDescent="0.25">
      <c r="A157" s="1" t="str">
        <f>'PWE-Ausw'!B36</f>
        <v>Die/der Teilnehmende hat eine Erwerbspause</v>
      </c>
      <c r="C157" s="19"/>
    </row>
    <row r="158" spans="1:3" x14ac:dyDescent="0.25">
      <c r="A158" t="str">
        <f>'PWE-Ausw'!E37</f>
        <v>Von &lt; 1 Jahr</v>
      </c>
      <c r="B158" t="e">
        <f>'PWE-Ausw'!F37</f>
        <v>#N/A</v>
      </c>
      <c r="C158" s="19" t="e">
        <f t="shared" si="4"/>
        <v>#N/A</v>
      </c>
    </row>
    <row r="159" spans="1:3" x14ac:dyDescent="0.25">
      <c r="A159" t="str">
        <f>'PWE-Ausw'!E38</f>
        <v>Von 1 bis 3 Jahren</v>
      </c>
      <c r="B159" t="e">
        <f>'PWE-Ausw'!F38</f>
        <v>#N/A</v>
      </c>
      <c r="C159" s="19" t="e">
        <f t="shared" si="4"/>
        <v>#N/A</v>
      </c>
    </row>
    <row r="160" spans="1:3" x14ac:dyDescent="0.25">
      <c r="A160" t="str">
        <f>'PWE-Ausw'!E39</f>
        <v>Von 3 bis 6 Jahren</v>
      </c>
      <c r="B160" t="e">
        <f>'PWE-Ausw'!F39</f>
        <v>#N/A</v>
      </c>
      <c r="C160" s="19" t="e">
        <f t="shared" si="4"/>
        <v>#N/A</v>
      </c>
    </row>
    <row r="161" spans="1:3" x14ac:dyDescent="0.25">
      <c r="A161" t="str">
        <f>'PWE-Ausw'!E40</f>
        <v>Von &gt; 6 Jahren</v>
      </c>
      <c r="B161" s="65" t="e">
        <f>'PWE-Ausw'!F40</f>
        <v>#N/A</v>
      </c>
      <c r="C161" s="89" t="e">
        <f t="shared" si="4"/>
        <v>#N/A</v>
      </c>
    </row>
    <row r="162" spans="1:3" x14ac:dyDescent="0.25">
      <c r="A162" t="str">
        <f>'PWE-Ausw'!E41</f>
        <v>Keine Erwerbspause (ggf. Förderausschluss!)</v>
      </c>
      <c r="B162" s="65" t="e">
        <f>'PWE-Ausw'!F41</f>
        <v>#N/A</v>
      </c>
      <c r="C162" s="89" t="e">
        <f t="shared" si="4"/>
        <v>#N/A</v>
      </c>
    </row>
    <row r="163" spans="1:3" ht="48.75" customHeight="1" x14ac:dyDescent="0.25"/>
    <row r="164" spans="1:3" x14ac:dyDescent="0.25">
      <c r="A164" s="1" t="str">
        <f>'PWE-Ausw'!B42</f>
        <v>Kinder</v>
      </c>
      <c r="C164" s="19"/>
    </row>
    <row r="165" spans="1:3" x14ac:dyDescent="0.25">
      <c r="A165" t="str">
        <f>'PWE-Ausw'!E42</f>
        <v>keine Angabe</v>
      </c>
      <c r="B165" t="e">
        <f>'PWE-Ausw'!F42</f>
        <v>#N/A</v>
      </c>
      <c r="C165" s="19" t="e">
        <f t="shared" si="4"/>
        <v>#N/A</v>
      </c>
    </row>
    <row r="166" spans="1:3" x14ac:dyDescent="0.25">
      <c r="A166" t="str">
        <f>'PWE-Ausw'!E43</f>
        <v>Erziehung eines Kindes</v>
      </c>
      <c r="B166" t="e">
        <f>'PWE-Ausw'!F43</f>
        <v>#N/A</v>
      </c>
      <c r="C166" s="19" t="e">
        <f t="shared" si="4"/>
        <v>#N/A</v>
      </c>
    </row>
    <row r="167" spans="1:3" x14ac:dyDescent="0.25">
      <c r="A167" t="str">
        <f>'PWE-Ausw'!E44</f>
        <v>Erziehung zweier Kinder</v>
      </c>
      <c r="B167" t="e">
        <f>'PWE-Ausw'!F44</f>
        <v>#N/A</v>
      </c>
      <c r="C167" s="19" t="e">
        <f t="shared" si="4"/>
        <v>#N/A</v>
      </c>
    </row>
    <row r="168" spans="1:3" x14ac:dyDescent="0.25">
      <c r="A168" t="str">
        <f>'PWE-Ausw'!E45</f>
        <v>Erziehung dreier Kinder</v>
      </c>
      <c r="B168" t="e">
        <f>'PWE-Ausw'!F45</f>
        <v>#N/A</v>
      </c>
      <c r="C168" s="19" t="e">
        <f t="shared" si="4"/>
        <v>#N/A</v>
      </c>
    </row>
    <row r="169" spans="1:3" x14ac:dyDescent="0.25">
      <c r="A169" t="str">
        <f>'PWE-Ausw'!E46</f>
        <v>Erziehung von mehr als drei Kindern</v>
      </c>
      <c r="B169" t="e">
        <f>'PWE-Ausw'!F46</f>
        <v>#N/A</v>
      </c>
      <c r="C169" s="19" t="e">
        <f t="shared" si="4"/>
        <v>#N/A</v>
      </c>
    </row>
    <row r="170" spans="1:3" x14ac:dyDescent="0.25">
      <c r="A170" t="str">
        <f>'PWE-Ausw'!E47</f>
        <v>Trifft nicht zu</v>
      </c>
      <c r="B170" t="e">
        <f>'PWE-Ausw'!F47</f>
        <v>#N/A</v>
      </c>
      <c r="C170" s="19" t="e">
        <f t="shared" si="4"/>
        <v>#N/A</v>
      </c>
    </row>
    <row r="172" spans="1:3" x14ac:dyDescent="0.25">
      <c r="A172" s="1" t="str">
        <f>'PWE-Ausw'!B48</f>
        <v>Pflege</v>
      </c>
      <c r="C172" s="19"/>
    </row>
    <row r="173" spans="1:3" x14ac:dyDescent="0.25">
      <c r="A173" t="str">
        <f>'PWE-Ausw'!E49</f>
        <v>Pflege von Familienangehörigen</v>
      </c>
      <c r="B173" t="e">
        <f>'PWE-Ausw'!F49</f>
        <v>#N/A</v>
      </c>
      <c r="C173" s="19" t="e">
        <f t="shared" si="4"/>
        <v>#N/A</v>
      </c>
    </row>
    <row r="174" spans="1:3" x14ac:dyDescent="0.25">
      <c r="A174" t="str">
        <f>'PWE-Ausw'!E50</f>
        <v>Pflege eines Kindes</v>
      </c>
      <c r="B174" t="e">
        <f>'PWE-Ausw'!F50</f>
        <v>#N/A</v>
      </c>
      <c r="C174" s="19" t="e">
        <f t="shared" si="4"/>
        <v>#N/A</v>
      </c>
    </row>
    <row r="175" spans="1:3" x14ac:dyDescent="0.25">
      <c r="A175" t="str">
        <f>'PWE-Ausw'!E51</f>
        <v>Pflege einer nahestehenden Person</v>
      </c>
      <c r="B175" t="e">
        <f>'PWE-Ausw'!F51</f>
        <v>#N/A</v>
      </c>
      <c r="C175" s="19" t="e">
        <f t="shared" si="4"/>
        <v>#N/A</v>
      </c>
    </row>
    <row r="176" spans="1:3" x14ac:dyDescent="0.25">
      <c r="A176" t="str">
        <f>'PWE-Ausw'!E52</f>
        <v>Trifft nicht zu</v>
      </c>
      <c r="B176" t="e">
        <f>'PWE-Ausw'!F52</f>
        <v>#N/A</v>
      </c>
      <c r="C176" s="19" t="e">
        <f t="shared" si="4"/>
        <v>#N/A</v>
      </c>
    </row>
    <row r="178" spans="1:3" x14ac:dyDescent="0.25">
      <c r="A178" s="1" t="str">
        <f>'PWE-Ausw'!B53</f>
        <v>TN hat vor der familienbedingten Erwerbsunterbrechung SGB II Leistungen wg. LZA erhalten</v>
      </c>
      <c r="C178" s="19"/>
    </row>
    <row r="179" spans="1:3" x14ac:dyDescent="0.25">
      <c r="A179" t="str">
        <f>'PWE-Ausw'!E53</f>
        <v>keine Angabe</v>
      </c>
      <c r="B179" s="65" t="e">
        <f>'PWE-Ausw'!F53</f>
        <v>#N/A</v>
      </c>
      <c r="C179" s="89" t="e">
        <f t="shared" si="4"/>
        <v>#N/A</v>
      </c>
    </row>
    <row r="180" spans="1:3" x14ac:dyDescent="0.25">
      <c r="A180" t="str">
        <f>'PWE-Ausw'!E54</f>
        <v>nein</v>
      </c>
      <c r="B180" s="65" t="e">
        <f>'PWE-Ausw'!F54</f>
        <v>#N/A</v>
      </c>
      <c r="C180" s="89" t="e">
        <f t="shared" si="4"/>
        <v>#N/A</v>
      </c>
    </row>
    <row r="181" spans="1:3" x14ac:dyDescent="0.25">
      <c r="A181" t="str">
        <f>'PWE-Ausw'!E55</f>
        <v>ja</v>
      </c>
      <c r="B181" s="65" t="e">
        <f>'PWE-Ausw'!F55</f>
        <v>#N/A</v>
      </c>
      <c r="C181" s="89" t="e">
        <f t="shared" si="4"/>
        <v>#N/A</v>
      </c>
    </row>
    <row r="182" spans="1:3" x14ac:dyDescent="0.25">
      <c r="B182" s="65"/>
      <c r="C182" s="89"/>
    </row>
    <row r="183" spans="1:3" x14ac:dyDescent="0.25">
      <c r="A183" s="1" t="str">
        <f>'PWE-Ausw'!B59</f>
        <v>In welchem zeitlichen Umfang möchte die/der Teilnehmende einer Beschäftigung nachgehen</v>
      </c>
      <c r="C183" s="19"/>
    </row>
    <row r="184" spans="1:3" x14ac:dyDescent="0.25">
      <c r="A184" t="str">
        <f>'PWE-Ausw'!E60</f>
        <v>Über 75% der Regelarbeitszeit</v>
      </c>
      <c r="B184" t="e">
        <f>'PWE-Ausw'!F60</f>
        <v>#N/A</v>
      </c>
      <c r="C184" s="19" t="e">
        <f t="shared" ref="C184:C188" si="6">B184/$B$12</f>
        <v>#N/A</v>
      </c>
    </row>
    <row r="185" spans="1:3" x14ac:dyDescent="0.25">
      <c r="A185" t="str">
        <f>'PWE-Ausw'!E61</f>
        <v>Über 50% bis 75% der Regelarbeitszeit</v>
      </c>
      <c r="B185" t="e">
        <f>'PWE-Ausw'!F61</f>
        <v>#N/A</v>
      </c>
      <c r="C185" s="19" t="e">
        <f t="shared" si="6"/>
        <v>#N/A</v>
      </c>
    </row>
    <row r="186" spans="1:3" x14ac:dyDescent="0.25">
      <c r="A186" t="str">
        <f>'PWE-Ausw'!E62</f>
        <v>50% der Regelarbeitszeit</v>
      </c>
      <c r="B186" t="e">
        <f>'PWE-Ausw'!F62</f>
        <v>#N/A</v>
      </c>
      <c r="C186" s="19" t="e">
        <f t="shared" si="6"/>
        <v>#N/A</v>
      </c>
    </row>
    <row r="187" spans="1:3" x14ac:dyDescent="0.25">
      <c r="A187" t="str">
        <f>'PWE-Ausw'!E63</f>
        <v>Weniger als 50% der Regelarbeitszeit</v>
      </c>
      <c r="B187" t="e">
        <f>'PWE-Ausw'!F63</f>
        <v>#N/A</v>
      </c>
      <c r="C187" s="19" t="e">
        <f t="shared" si="6"/>
        <v>#N/A</v>
      </c>
    </row>
    <row r="188" spans="1:3" x14ac:dyDescent="0.25">
      <c r="A188" t="str">
        <f>'PWE-Ausw'!E64</f>
        <v>Noch nicht sicher</v>
      </c>
      <c r="B188" t="e">
        <f>'PWE-Ausw'!F64</f>
        <v>#N/A</v>
      </c>
      <c r="C188" s="19" t="e">
        <f t="shared" si="6"/>
        <v>#N/A</v>
      </c>
    </row>
    <row r="189" spans="1:3" x14ac:dyDescent="0.25">
      <c r="B189" s="65"/>
      <c r="C189" s="89"/>
    </row>
    <row r="190" spans="1:3" ht="18.75" x14ac:dyDescent="0.3">
      <c r="A190" s="22" t="s">
        <v>113</v>
      </c>
      <c r="C190" s="19"/>
    </row>
    <row r="191" spans="1:3" x14ac:dyDescent="0.25">
      <c r="A191" s="81" t="s">
        <v>420</v>
      </c>
      <c r="B191" s="63"/>
      <c r="C191" s="82"/>
    </row>
    <row r="192" spans="1:3" x14ac:dyDescent="0.25">
      <c r="A192" s="83" t="str">
        <f>'PWE-Ausw'!B181</f>
        <v>Alleinerziehend</v>
      </c>
      <c r="B192" s="63"/>
      <c r="C192" s="82"/>
    </row>
    <row r="193" spans="1:3" x14ac:dyDescent="0.25">
      <c r="A193" s="81" t="e">
        <f>'PWE-Ausw'!H177</f>
        <v>#N/A</v>
      </c>
      <c r="B193" s="63"/>
      <c r="C193" s="82"/>
    </row>
    <row r="194" spans="1:3" x14ac:dyDescent="0.25">
      <c r="A194" s="64" t="str">
        <f>'PWE-Ausw'!E182</f>
        <v>Nein</v>
      </c>
      <c r="B194" s="63" t="e">
        <f>'PWE-Ausw'!F182</f>
        <v>#N/A</v>
      </c>
      <c r="C194" s="82" t="e">
        <f>B194/SUM($B$194:$B$196)</f>
        <v>#N/A</v>
      </c>
    </row>
    <row r="195" spans="1:3" x14ac:dyDescent="0.25">
      <c r="A195" s="64" t="str">
        <f>'PWE-Ausw'!E183</f>
        <v>Ja</v>
      </c>
      <c r="B195" s="63" t="e">
        <f>'PWE-Ausw'!F183</f>
        <v>#N/A</v>
      </c>
      <c r="C195" s="82" t="e">
        <f>B195/SUM($B$194:$B$196)</f>
        <v>#N/A</v>
      </c>
    </row>
    <row r="196" spans="1:3" x14ac:dyDescent="0.25">
      <c r="A196" s="64" t="s">
        <v>45</v>
      </c>
      <c r="B196" s="63" t="e">
        <f>'PWE-Ausw'!F184</f>
        <v>#N/A</v>
      </c>
      <c r="C196" s="82" t="e">
        <f>B196/SUM($B$194:$B$196)</f>
        <v>#N/A</v>
      </c>
    </row>
    <row r="197" spans="1:3" x14ac:dyDescent="0.25">
      <c r="A197" s="63"/>
      <c r="B197" s="63"/>
      <c r="C197" s="82"/>
    </row>
    <row r="198" spans="1:3" ht="16.5" customHeight="1" x14ac:dyDescent="0.25">
      <c r="A198" s="83" t="str">
        <f>'PWE-Ausw'!B177</f>
        <v>Weitere Erwerbspersonen im HH</v>
      </c>
      <c r="B198" s="63"/>
      <c r="C198" s="82"/>
    </row>
    <row r="199" spans="1:3" ht="16.5" customHeight="1" x14ac:dyDescent="0.25">
      <c r="A199" s="81" t="e">
        <f>A193</f>
        <v>#N/A</v>
      </c>
      <c r="B199" s="63"/>
      <c r="C199" s="82"/>
    </row>
    <row r="200" spans="1:3" ht="16.5" customHeight="1" x14ac:dyDescent="0.25">
      <c r="A200" s="64" t="str">
        <f>'PWE-Ausw'!E178</f>
        <v>Nein</v>
      </c>
      <c r="B200" s="64" t="e">
        <f>'PWE-Ausw'!F178</f>
        <v>#N/A</v>
      </c>
      <c r="C200" s="82" t="e">
        <f>B200/SUM($B$200:$B$202)</f>
        <v>#N/A</v>
      </c>
    </row>
    <row r="201" spans="1:3" ht="16.5" customHeight="1" x14ac:dyDescent="0.25">
      <c r="A201" s="64" t="str">
        <f>'PWE-Ausw'!E179</f>
        <v>Ja</v>
      </c>
      <c r="B201" s="64" t="e">
        <f>'PWE-Ausw'!F179</f>
        <v>#N/A</v>
      </c>
      <c r="C201" s="82" t="e">
        <f>B201/SUM($B$200:$B$202)</f>
        <v>#N/A</v>
      </c>
    </row>
    <row r="202" spans="1:3" ht="16.5" customHeight="1" x14ac:dyDescent="0.25">
      <c r="A202" s="64" t="s">
        <v>45</v>
      </c>
      <c r="B202" s="64" t="e">
        <f>'PWE-Ausw'!F180</f>
        <v>#N/A</v>
      </c>
      <c r="C202" s="82" t="e">
        <f>B202/SUM($B$200:$B$202)</f>
        <v>#N/A</v>
      </c>
    </row>
    <row r="203" spans="1:3" x14ac:dyDescent="0.25">
      <c r="B203" s="65"/>
      <c r="C203" s="89"/>
    </row>
    <row r="204" spans="1:3" ht="18.75" x14ac:dyDescent="0.3">
      <c r="A204" s="22"/>
      <c r="C204" s="19"/>
    </row>
    <row r="205" spans="1:3" x14ac:dyDescent="0.25">
      <c r="C205" s="19"/>
    </row>
    <row r="206" spans="1:3" x14ac:dyDescent="0.25">
      <c r="C206" s="19"/>
    </row>
    <row r="207" spans="1:3" x14ac:dyDescent="0.25">
      <c r="C207" s="19"/>
    </row>
    <row r="208" spans="1:3" x14ac:dyDescent="0.25">
      <c r="C208" s="19"/>
    </row>
    <row r="209" spans="3:3" x14ac:dyDescent="0.25">
      <c r="C209" s="19"/>
    </row>
    <row r="210" spans="3:3" x14ac:dyDescent="0.25">
      <c r="C210" s="19"/>
    </row>
    <row r="211" spans="3:3" x14ac:dyDescent="0.25">
      <c r="C211" s="19"/>
    </row>
    <row r="212" spans="3:3" x14ac:dyDescent="0.25">
      <c r="C212" s="19"/>
    </row>
    <row r="213" spans="3:3" x14ac:dyDescent="0.25">
      <c r="C213" s="19"/>
    </row>
    <row r="214" spans="3:3" x14ac:dyDescent="0.25">
      <c r="C214" s="19"/>
    </row>
    <row r="215" spans="3:3" x14ac:dyDescent="0.25">
      <c r="C215" s="19"/>
    </row>
    <row r="216" spans="3:3" x14ac:dyDescent="0.25">
      <c r="C216" s="19"/>
    </row>
    <row r="217" spans="3:3" x14ac:dyDescent="0.25">
      <c r="C217" s="19"/>
    </row>
    <row r="218" spans="3:3" x14ac:dyDescent="0.25">
      <c r="C218" s="19"/>
    </row>
    <row r="219" spans="3:3" x14ac:dyDescent="0.25">
      <c r="C219" s="19"/>
    </row>
    <row r="220" spans="3:3" x14ac:dyDescent="0.25">
      <c r="C220" s="19"/>
    </row>
    <row r="221" spans="3:3" x14ac:dyDescent="0.25">
      <c r="C221" s="19"/>
    </row>
    <row r="222" spans="3:3" x14ac:dyDescent="0.25">
      <c r="C222" s="19"/>
    </row>
    <row r="223" spans="3:3" x14ac:dyDescent="0.25">
      <c r="C223" s="19"/>
    </row>
    <row r="224" spans="3:3" x14ac:dyDescent="0.25">
      <c r="C224" s="19"/>
    </row>
    <row r="225" spans="1:3" x14ac:dyDescent="0.25">
      <c r="C225" s="19"/>
    </row>
    <row r="226" spans="1:3" x14ac:dyDescent="0.25">
      <c r="C226" s="19"/>
    </row>
    <row r="227" spans="1:3" x14ac:dyDescent="0.25">
      <c r="C227" s="19"/>
    </row>
    <row r="228" spans="1:3" x14ac:dyDescent="0.25">
      <c r="C228" s="19"/>
    </row>
    <row r="229" spans="1:3" x14ac:dyDescent="0.25">
      <c r="C229" s="19"/>
    </row>
    <row r="230" spans="1:3" x14ac:dyDescent="0.25">
      <c r="C230" s="19"/>
    </row>
    <row r="231" spans="1:3" x14ac:dyDescent="0.25">
      <c r="C231" s="19"/>
    </row>
    <row r="232" spans="1:3" x14ac:dyDescent="0.25">
      <c r="C232" s="19"/>
    </row>
    <row r="233" spans="1:3" x14ac:dyDescent="0.25">
      <c r="C233" s="19"/>
    </row>
    <row r="234" spans="1:3" x14ac:dyDescent="0.25">
      <c r="C234" s="19"/>
    </row>
    <row r="235" spans="1:3" x14ac:dyDescent="0.25">
      <c r="C235" s="19"/>
    </row>
    <row r="236" spans="1:3" x14ac:dyDescent="0.25">
      <c r="C236" s="19"/>
    </row>
    <row r="237" spans="1:3" x14ac:dyDescent="0.25">
      <c r="C237" s="19"/>
    </row>
    <row r="238" spans="1:3" x14ac:dyDescent="0.25">
      <c r="A238" s="101" t="str">
        <f>'PWE-Ausw'!B169</f>
        <v>Detail zu Bildung und Erziehung: War die Teilnehmende im Beruf Erzieher/in?*</v>
      </c>
      <c r="B238" s="102"/>
      <c r="C238" s="103"/>
    </row>
    <row r="239" spans="1:3" x14ac:dyDescent="0.25">
      <c r="A239" s="104" t="e">
        <f>'PWE-Ausw'!H169</f>
        <v>#N/A</v>
      </c>
      <c r="B239" s="102"/>
      <c r="C239" s="103"/>
    </row>
    <row r="240" spans="1:3" x14ac:dyDescent="0.25">
      <c r="A240" s="102" t="str">
        <f>'PWE-Ausw'!E170</f>
        <v>Nein</v>
      </c>
      <c r="B240" s="102" t="e">
        <f>'PWE-Ausw'!F170</f>
        <v>#N/A</v>
      </c>
      <c r="C240" s="103" t="e">
        <f>B240/(SUM($B$240:$B$242))</f>
        <v>#N/A</v>
      </c>
    </row>
    <row r="241" spans="1:3" x14ac:dyDescent="0.25">
      <c r="A241" s="102" t="str">
        <f>'PWE-Ausw'!E171</f>
        <v>Ja</v>
      </c>
      <c r="B241" s="102" t="e">
        <f>'PWE-Ausw'!F171</f>
        <v>#N/A</v>
      </c>
      <c r="C241" s="103" t="e">
        <f t="shared" ref="C241:C242" si="7">B241/(SUM($B$240:$B$242))</f>
        <v>#N/A</v>
      </c>
    </row>
    <row r="242" spans="1:3" x14ac:dyDescent="0.25">
      <c r="A242" s="102" t="str">
        <f>'PWE-Ausw'!E172</f>
        <v>keine Angabe, obwohl Branche "Bildung und Erziehung"</v>
      </c>
      <c r="B242" s="102" t="e">
        <f>'PWE-Ausw'!F172</f>
        <v>#N/A</v>
      </c>
      <c r="C242" s="103" t="e">
        <f t="shared" si="7"/>
        <v>#N/A</v>
      </c>
    </row>
    <row r="243" spans="1:3" x14ac:dyDescent="0.25">
      <c r="A243" s="102"/>
      <c r="B243" s="102"/>
      <c r="C243" s="103"/>
    </row>
    <row r="244" spans="1:3" x14ac:dyDescent="0.25">
      <c r="A244" s="101" t="str">
        <f>'PWE-Ausw'!B173</f>
        <v>Detail zu Gesundheits- und Sozialwesen: War die Teilnehmende im Beruf Pﬂeger/in?*</v>
      </c>
      <c r="B244" s="102"/>
      <c r="C244" s="103"/>
    </row>
    <row r="245" spans="1:3" x14ac:dyDescent="0.25">
      <c r="A245" s="104" t="e">
        <f>'PWE-Ausw'!H173</f>
        <v>#N/A</v>
      </c>
      <c r="B245" s="102"/>
      <c r="C245" s="103"/>
    </row>
    <row r="246" spans="1:3" x14ac:dyDescent="0.25">
      <c r="A246" s="102" t="str">
        <f>'PWE-Ausw'!E174</f>
        <v>Nein</v>
      </c>
      <c r="B246" s="102" t="e">
        <f>'PWE-Ausw'!F174</f>
        <v>#N/A</v>
      </c>
      <c r="C246" s="107" t="e">
        <f>B246/(SUM($B$246:$B$248))</f>
        <v>#N/A</v>
      </c>
    </row>
    <row r="247" spans="1:3" x14ac:dyDescent="0.25">
      <c r="A247" s="102" t="str">
        <f>'PWE-Ausw'!E175</f>
        <v>Ja</v>
      </c>
      <c r="B247" s="102" t="e">
        <f>'PWE-Ausw'!F175</f>
        <v>#N/A</v>
      </c>
      <c r="C247" s="107" t="e">
        <f t="shared" ref="C247:C248" si="8">B247/(SUM($B$246:$B$248))</f>
        <v>#N/A</v>
      </c>
    </row>
    <row r="248" spans="1:3" x14ac:dyDescent="0.25">
      <c r="A248" s="102" t="str">
        <f>'PWE-Ausw'!E176</f>
        <v>keine Angabe, obwohl Branche "Gesundheits- und Sozialwesen"</v>
      </c>
      <c r="B248" s="102" t="e">
        <f>'PWE-Ausw'!F176</f>
        <v>#N/A</v>
      </c>
      <c r="C248" s="107" t="e">
        <f t="shared" si="8"/>
        <v>#N/A</v>
      </c>
    </row>
    <row r="249" spans="1:3" ht="18.75" x14ac:dyDescent="0.3">
      <c r="A249" s="46" t="s">
        <v>137</v>
      </c>
      <c r="B249" s="111" t="e">
        <f>CONCATENATE("Austritte: ",$B$15)</f>
        <v>#N/A</v>
      </c>
      <c r="C249" s="111"/>
    </row>
    <row r="250" spans="1:3" ht="18.75" x14ac:dyDescent="0.3">
      <c r="A250" s="41" t="s">
        <v>117</v>
      </c>
      <c r="B250" s="43"/>
      <c r="C250" s="43"/>
    </row>
    <row r="251" spans="1:3" ht="18.75" x14ac:dyDescent="0.3">
      <c r="A251" s="22" t="str">
        <f>'ESF-Ausw'!A84</f>
        <v>Vorzeitig ausgetreten</v>
      </c>
    </row>
    <row r="252" spans="1:3" x14ac:dyDescent="0.25">
      <c r="A252" s="24" t="s">
        <v>414</v>
      </c>
      <c r="B252" s="24" t="e">
        <f>'ESF-Ausw'!E86</f>
        <v>#N/A</v>
      </c>
      <c r="C252" s="19" t="e">
        <f>B252/$B$15</f>
        <v>#N/A</v>
      </c>
    </row>
    <row r="253" spans="1:3" x14ac:dyDescent="0.25">
      <c r="A253" s="1"/>
      <c r="B253" s="24"/>
      <c r="C253" s="19"/>
    </row>
    <row r="254" spans="1:3" ht="18.75" x14ac:dyDescent="0.3">
      <c r="A254" s="22" t="s">
        <v>146</v>
      </c>
      <c r="B254" s="24"/>
      <c r="C254" s="19"/>
    </row>
    <row r="255" spans="1:3" x14ac:dyDescent="0.25">
      <c r="A255" s="99" t="s">
        <v>423</v>
      </c>
      <c r="B255" s="24"/>
      <c r="C255" s="19"/>
    </row>
    <row r="256" spans="1:3" x14ac:dyDescent="0.25">
      <c r="A256" s="24" t="str">
        <f>'ESF-Ausw'!A93</f>
        <v>neu arbeitsuchend</v>
      </c>
      <c r="B256" s="4" t="e">
        <f>'ESF-Ausw'!E95</f>
        <v>#N/A</v>
      </c>
      <c r="C256" s="89" t="e">
        <f>B256/Überblick!$B$15</f>
        <v>#N/A</v>
      </c>
    </row>
    <row r="257" spans="1:3" x14ac:dyDescent="0.25">
      <c r="A257" s="24" t="str">
        <f>'ESF-Ausw'!A90</f>
        <v>in schulischer/beruflicher Bildung</v>
      </c>
      <c r="B257" s="4" t="e">
        <f>'ESF-Ausw'!E92</f>
        <v>#N/A</v>
      </c>
      <c r="C257" s="89" t="e">
        <f>B257/Überblick!$B$15</f>
        <v>#N/A</v>
      </c>
    </row>
    <row r="258" spans="1:3" x14ac:dyDescent="0.25">
      <c r="A258" s="24" t="str">
        <f>'ESF-Ausw'!A96</f>
        <v>Qualifizierung erhalten</v>
      </c>
      <c r="B258" s="4" t="e">
        <f>'ESF-Ausw'!E98</f>
        <v>#N/A</v>
      </c>
      <c r="C258" s="89" t="e">
        <f>B258/Überblick!$B$15</f>
        <v>#N/A</v>
      </c>
    </row>
    <row r="259" spans="1:3" x14ac:dyDescent="0.25">
      <c r="A259" s="24" t="str">
        <f>'ESF-Ausw'!A87</f>
        <v>Arbeit aufgenommen oder selbstständig</v>
      </c>
      <c r="B259" s="4" t="e">
        <f>'ESF-Ausw'!E89</f>
        <v>#N/A</v>
      </c>
      <c r="C259" s="89" t="e">
        <f>B259/Überblick!$B$15</f>
        <v>#N/A</v>
      </c>
    </row>
    <row r="260" spans="1:3" x14ac:dyDescent="0.25">
      <c r="A260" s="24" t="str">
        <f>'PWE-Ausw'!B197</f>
        <v>Übergang von geringfügiger in sv-pfl. Beschäftigung (Minijob)</v>
      </c>
      <c r="B260" s="4" t="e">
        <f>'PWE-Ausw'!F200</f>
        <v>#N/A</v>
      </c>
      <c r="C260" s="89" t="e">
        <f>B260/Überblick!$B$15</f>
        <v>#N/A</v>
      </c>
    </row>
    <row r="261" spans="1:3" x14ac:dyDescent="0.25">
      <c r="A261" s="24"/>
      <c r="B261" s="4"/>
      <c r="C261" s="89"/>
    </row>
    <row r="262" spans="1:3" ht="18.75" x14ac:dyDescent="0.3">
      <c r="A262" s="22" t="s">
        <v>147</v>
      </c>
      <c r="B262" s="24"/>
      <c r="C262" s="19"/>
    </row>
    <row r="263" spans="1:3" x14ac:dyDescent="0.25">
      <c r="A263" s="44" t="str">
        <f>'ESF-Ausw'!A140</f>
        <v>Nichterwerbstätige TN, die neu auf Arbeitsuche sind</v>
      </c>
      <c r="B263" s="44" t="e">
        <f>'ESF-Ausw'!E140</f>
        <v>#N/A</v>
      </c>
      <c r="C263" s="19" t="e">
        <f>B263/Überblick!$B$15</f>
        <v>#N/A</v>
      </c>
    </row>
    <row r="264" spans="1:3" x14ac:dyDescent="0.25">
      <c r="A264" s="44" t="str">
        <f>'ESF-Ausw'!A143</f>
        <v>TN, die eine schulische/berufliche Bildung absolvieren</v>
      </c>
      <c r="B264" s="44" t="e">
        <f>'ESF-Ausw'!E143</f>
        <v>#N/A</v>
      </c>
      <c r="C264" s="19" t="e">
        <f>B264/Überblick!$B$15</f>
        <v>#N/A</v>
      </c>
    </row>
    <row r="265" spans="1:3" x14ac:dyDescent="0.25">
      <c r="A265" s="44" t="str">
        <f>'ESF-Ausw'!A146</f>
        <v>TN, die eine Qualifizierung erlangen</v>
      </c>
      <c r="B265" s="44" t="e">
        <f>'ESF-Ausw'!E146</f>
        <v>#N/A</v>
      </c>
      <c r="C265" s="19" t="e">
        <f>B265/Überblick!$B$15</f>
        <v>#N/A</v>
      </c>
    </row>
    <row r="266" spans="1:3" x14ac:dyDescent="0.25">
      <c r="A266" s="44" t="str">
        <f>'ESF-Ausw'!A149</f>
        <v>TN, die einen Arbeitsplatz haben, einschließlich Selbständige</v>
      </c>
      <c r="B266" s="44" t="e">
        <f>'ESF-Ausw'!E149</f>
        <v>#N/A</v>
      </c>
      <c r="C266" s="19" t="e">
        <f>B266/Überblick!$B$15</f>
        <v>#N/A</v>
      </c>
    </row>
    <row r="267" spans="1:3" ht="32.25" customHeight="1" x14ac:dyDescent="0.25">
      <c r="A267" s="48" t="str">
        <f>'ESF-Ausw'!A155</f>
        <v>TN, die nach ihrer Teilnahme einen Arbeitsplatz haben, auf Arbeitsuche sind oder für den Arbeitsmarkt aktiviert wurden (A2.1)</v>
      </c>
      <c r="B267" t="e">
        <f>'ESF-Ausw'!E155</f>
        <v>#N/A</v>
      </c>
      <c r="C267" s="19" t="e">
        <f>B267/Überblick!$B$15</f>
        <v>#N/A</v>
      </c>
    </row>
    <row r="269" spans="1:3" ht="18.75" x14ac:dyDescent="0.3">
      <c r="A269" s="41" t="s">
        <v>337</v>
      </c>
      <c r="B269" s="43"/>
      <c r="C269" s="43"/>
    </row>
    <row r="270" spans="1:3" x14ac:dyDescent="0.25">
      <c r="A270" s="1" t="str">
        <f>'PWE-Ausw'!B344</f>
        <v>Vorzeitiger Programmaustritt</v>
      </c>
    </row>
    <row r="271" spans="1:3" x14ac:dyDescent="0.25">
      <c r="A271" s="81" t="e">
        <f>'PWE-Ausw'!H344</f>
        <v>#N/A</v>
      </c>
      <c r="B271" s="63"/>
      <c r="C271" s="63"/>
    </row>
    <row r="272" spans="1:3" x14ac:dyDescent="0.25">
      <c r="A272" s="63" t="str">
        <f>'PWE-Ausw'!E345</f>
        <v>Vorzeitiger Programmerfolg (z. B. Arbeitsaufnahme)</v>
      </c>
      <c r="B272" s="63" t="e">
        <f>'PWE-Ausw'!F345</f>
        <v>#N/A</v>
      </c>
      <c r="C272" s="82" t="e">
        <f>B272/SUM($B$272:$B$275)</f>
        <v>#N/A</v>
      </c>
    </row>
    <row r="273" spans="1:3" x14ac:dyDescent="0.25">
      <c r="A273" s="63" t="str">
        <f>'PWE-Ausw'!E346</f>
        <v>Vorzeitige Beendigung (z. B. aufgrund von Umzug, Schwangerschaft, Krankheit)</v>
      </c>
      <c r="B273" s="63" t="e">
        <f>'PWE-Ausw'!F346</f>
        <v>#N/A</v>
      </c>
      <c r="C273" s="82" t="e">
        <f>B273/SUM($B$272:$B$275)</f>
        <v>#N/A</v>
      </c>
    </row>
    <row r="274" spans="1:3" x14ac:dyDescent="0.25">
      <c r="A274" s="63" t="str">
        <f>'PWE-Ausw'!E347</f>
        <v>Projektabbruch</v>
      </c>
      <c r="B274" s="63" t="e">
        <f>'PWE-Ausw'!F347</f>
        <v>#N/A</v>
      </c>
      <c r="C274" s="82" t="e">
        <f>B274/SUM($B$272:$B$275)</f>
        <v>#N/A</v>
      </c>
    </row>
    <row r="275" spans="1:3" x14ac:dyDescent="0.25">
      <c r="A275" s="63" t="str">
        <f>'PWE-Ausw'!E348</f>
        <v>keine Angabe, obwohl vorzeitiger Austritt in 2 FP</v>
      </c>
      <c r="B275" s="63" t="e">
        <f>'PWE-Ausw'!F348</f>
        <v>#N/A</v>
      </c>
      <c r="C275" s="82" t="e">
        <f>B275/SUM($B$272:$B$275)</f>
        <v>#N/A</v>
      </c>
    </row>
    <row r="276" spans="1:3" x14ac:dyDescent="0.25">
      <c r="B276" s="65"/>
      <c r="C276" s="108"/>
    </row>
    <row r="277" spans="1:3" x14ac:dyDescent="0.25">
      <c r="A277" s="1" t="str">
        <f>'PWE-Ausw'!B197</f>
        <v>Übergang von geringfügiger in sv-pfl. Beschäftigung (Minijob)</v>
      </c>
      <c r="B277" s="24"/>
      <c r="C277" s="19"/>
    </row>
    <row r="278" spans="1:3" x14ac:dyDescent="0.25">
      <c r="A278" s="24" t="str">
        <f>'PWE-Ausw'!E197</f>
        <v>keine Angabe</v>
      </c>
      <c r="B278" s="24" t="e">
        <f>'PWE-Ausw'!F197</f>
        <v>#N/A</v>
      </c>
      <c r="C278" s="19" t="e">
        <f>B278/Überblick!$B$15</f>
        <v>#N/A</v>
      </c>
    </row>
    <row r="279" spans="1:3" x14ac:dyDescent="0.25">
      <c r="A279" s="24" t="str">
        <f>'PWE-Ausw'!E198</f>
        <v>Nein</v>
      </c>
      <c r="B279" s="24" t="e">
        <f>'PWE-Ausw'!F198</f>
        <v>#N/A</v>
      </c>
      <c r="C279" s="19" t="e">
        <f>B279/Überblick!$B$15</f>
        <v>#N/A</v>
      </c>
    </row>
    <row r="280" spans="1:3" x14ac:dyDescent="0.25">
      <c r="A280" s="24" t="str">
        <f>'PWE-Ausw'!E199</f>
        <v>Ja</v>
      </c>
      <c r="B280" s="24" t="e">
        <f>'PWE-Ausw'!F199</f>
        <v>#N/A</v>
      </c>
      <c r="C280" s="19" t="e">
        <f>B280/Überblick!$B$15</f>
        <v>#N/A</v>
      </c>
    </row>
    <row r="281" spans="1:3" x14ac:dyDescent="0.25">
      <c r="A281" s="24" t="str">
        <f>'PWE-Ausw'!E200</f>
        <v>Nicht erhoben</v>
      </c>
      <c r="B281" s="4" t="e">
        <f>'PWE-Ausw'!F200</f>
        <v>#N/A</v>
      </c>
      <c r="C281" s="89" t="e">
        <f>B281/Überblick!$B$15</f>
        <v>#N/A</v>
      </c>
    </row>
    <row r="282" spans="1:3" x14ac:dyDescent="0.25">
      <c r="A282" s="24"/>
      <c r="B282" s="4"/>
      <c r="C282" s="89"/>
    </row>
    <row r="283" spans="1:3" x14ac:dyDescent="0.25">
      <c r="A283" s="1" t="str">
        <f>'PWE-Ausw'!B201</f>
        <v>Erwerbsvolumen (Erwerbstätige) wurde</v>
      </c>
      <c r="B283" s="4"/>
      <c r="C283" s="89"/>
    </row>
    <row r="284" spans="1:3" x14ac:dyDescent="0.25">
      <c r="A284" s="24" t="str">
        <f>'PWE-Ausw'!E201</f>
        <v>keine Angabe</v>
      </c>
      <c r="B284" s="105" t="e">
        <f>'PWE-Ausw'!F201</f>
        <v>#N/A</v>
      </c>
      <c r="C284" s="109" t="e">
        <f>B284/Überblick!$B$15</f>
        <v>#N/A</v>
      </c>
    </row>
    <row r="285" spans="1:3" x14ac:dyDescent="0.25">
      <c r="A285" s="24" t="str">
        <f>'PWE-Ausw'!E202</f>
        <v>erhöht</v>
      </c>
      <c r="B285" s="24" t="e">
        <f>'PWE-Ausw'!F202</f>
        <v>#N/A</v>
      </c>
      <c r="C285" s="19" t="e">
        <f>B285/Überblick!$B$15</f>
        <v>#N/A</v>
      </c>
    </row>
    <row r="286" spans="1:3" x14ac:dyDescent="0.25">
      <c r="A286" s="24" t="str">
        <f>'PWE-Ausw'!E203</f>
        <v>erhalten</v>
      </c>
      <c r="B286" s="24" t="e">
        <f>'PWE-Ausw'!F203</f>
        <v>#N/A</v>
      </c>
      <c r="C286" s="19" t="e">
        <f>B286/Überblick!$B$15</f>
        <v>#N/A</v>
      </c>
    </row>
    <row r="287" spans="1:3" x14ac:dyDescent="0.25">
      <c r="A287" s="24" t="str">
        <f>'PWE-Ausw'!E204</f>
        <v>verringert</v>
      </c>
      <c r="B287" s="24" t="e">
        <f>'PWE-Ausw'!F204</f>
        <v>#N/A</v>
      </c>
      <c r="C287" s="19" t="e">
        <f>B287/Überblick!$B$15</f>
        <v>#N/A</v>
      </c>
    </row>
    <row r="288" spans="1:3" x14ac:dyDescent="0.25">
      <c r="A288" s="24"/>
    </row>
    <row r="289" spans="1:3" ht="18.75" x14ac:dyDescent="0.3">
      <c r="A289" s="22" t="s">
        <v>417</v>
      </c>
    </row>
    <row r="290" spans="1:3" x14ac:dyDescent="0.25">
      <c r="A290" s="1" t="str">
        <f>'PWE-Ausw'!B210</f>
        <v>Basismodule/Orientierung: Einsatz von Basismodulen zur Bedarfsklärung und Zielentwicklung</v>
      </c>
      <c r="B290" s="24"/>
      <c r="C290" s="19"/>
    </row>
    <row r="291" spans="1:3" x14ac:dyDescent="0.25">
      <c r="A291" s="24" t="str">
        <f>'PWE-Ausw'!E211</f>
        <v>Kontextklärung</v>
      </c>
      <c r="B291" s="24">
        <f>'PWE-Ausw'!F211</f>
        <v>0</v>
      </c>
      <c r="C291" s="19" t="e">
        <f>B291/Überblick!$B$15</f>
        <v>#N/A</v>
      </c>
    </row>
    <row r="292" spans="1:3" x14ac:dyDescent="0.25">
      <c r="A292" s="24" t="str">
        <f>'PWE-Ausw'!E212</f>
        <v>Kompetenzklärung</v>
      </c>
      <c r="B292" s="24">
        <f>'PWE-Ausw'!F212</f>
        <v>0</v>
      </c>
      <c r="C292" s="19" t="e">
        <f>B292/Überblick!$B$15</f>
        <v>#N/A</v>
      </c>
    </row>
    <row r="293" spans="1:3" x14ac:dyDescent="0.25">
      <c r="A293" s="24" t="str">
        <f>'PWE-Ausw'!E213</f>
        <v>Berufsorientierung</v>
      </c>
      <c r="B293" s="24">
        <f>'PWE-Ausw'!F213</f>
        <v>0</v>
      </c>
      <c r="C293" s="19" t="e">
        <f>B293/Überblick!$B$15</f>
        <v>#N/A</v>
      </c>
    </row>
    <row r="294" spans="1:3" x14ac:dyDescent="0.25">
      <c r="A294" s="24" t="str">
        <f>'PWE-Ausw'!E214</f>
        <v>Weitere/andere</v>
      </c>
      <c r="B294" s="24">
        <f>'PWE-Ausw'!F214</f>
        <v>0</v>
      </c>
      <c r="C294" s="19" t="e">
        <f>B294/Überblick!$B$15</f>
        <v>#N/A</v>
      </c>
    </row>
    <row r="295" spans="1:3" x14ac:dyDescent="0.25">
      <c r="A295" s="24"/>
      <c r="B295" s="24"/>
      <c r="C295" s="19"/>
    </row>
    <row r="296" spans="1:3" x14ac:dyDescent="0.25">
      <c r="A296" s="1" t="str">
        <f>'PWE-Ausw'!B215</f>
        <v>arbeitsmarktbezogen</v>
      </c>
      <c r="B296" s="24"/>
      <c r="C296" s="19"/>
    </row>
    <row r="297" spans="1:3" x14ac:dyDescent="0.25">
      <c r="A297" s="24" t="str">
        <f>'PWE-Ausw'!E216</f>
        <v>Selbstmarketing, Talentmarketing, Stellenrecherche</v>
      </c>
      <c r="B297" s="24">
        <f>'PWE-Ausw'!F216</f>
        <v>0</v>
      </c>
      <c r="C297" s="19" t="e">
        <f>B297/Überblick!$B$15</f>
        <v>#N/A</v>
      </c>
    </row>
    <row r="298" spans="1:3" x14ac:dyDescent="0.25">
      <c r="A298" s="24" t="str">
        <f>'PWE-Ausw'!E217</f>
        <v>Bewerbungsmodule, Bewerbungscoaching, Gehaltsverhandlungen</v>
      </c>
      <c r="B298" s="24">
        <f>'PWE-Ausw'!F217</f>
        <v>0</v>
      </c>
      <c r="C298" s="19" t="e">
        <f>B298/Überblick!$B$15</f>
        <v>#N/A</v>
      </c>
    </row>
    <row r="299" spans="1:3" x14ac:dyDescent="0.25">
      <c r="A299" s="24" t="str">
        <f>'PWE-Ausw'!E218</f>
        <v>Existenzgründungsseminare</v>
      </c>
      <c r="B299" s="24">
        <f>'PWE-Ausw'!F218</f>
        <v>0</v>
      </c>
      <c r="C299" s="19" t="e">
        <f>B299/Überblick!$B$15</f>
        <v>#N/A</v>
      </c>
    </row>
    <row r="300" spans="1:3" x14ac:dyDescent="0.25">
      <c r="A300" s="24" t="str">
        <f>'PWE-Ausw'!E219</f>
        <v>Training berufsrelevanter Basiskompetenzen</v>
      </c>
      <c r="B300" s="24">
        <f>'PWE-Ausw'!F219</f>
        <v>0</v>
      </c>
      <c r="C300" s="19" t="e">
        <f>B300/Überblick!$B$15</f>
        <v>#N/A</v>
      </c>
    </row>
    <row r="301" spans="1:3" x14ac:dyDescent="0.25">
      <c r="A301" s="24" t="str">
        <f>'PWE-Ausw'!E220</f>
        <v>Weitere/andere</v>
      </c>
      <c r="B301" s="24">
        <f>'PWE-Ausw'!F220</f>
        <v>0</v>
      </c>
      <c r="C301" s="19" t="e">
        <f>B301/Überblick!$B$15</f>
        <v>#N/A</v>
      </c>
    </row>
    <row r="302" spans="1:3" ht="10.5" customHeight="1" x14ac:dyDescent="0.25">
      <c r="A302" s="24"/>
      <c r="B302" s="24"/>
      <c r="C302" s="19"/>
    </row>
    <row r="303" spans="1:3" x14ac:dyDescent="0.25">
      <c r="A303" s="1" t="str">
        <f>'PWE-Ausw'!B221</f>
        <v>personenbezogen</v>
      </c>
      <c r="B303" s="24"/>
      <c r="C303" s="19"/>
    </row>
    <row r="304" spans="1:3" x14ac:dyDescent="0.25">
      <c r="A304" s="24" t="str">
        <f>'PWE-Ausw'!E222</f>
        <v>Persönlichkeitsberatung, Training persönlicher und sozialer Kompetenzen</v>
      </c>
      <c r="B304" s="24">
        <f>'PWE-Ausw'!F222</f>
        <v>0</v>
      </c>
      <c r="C304" s="19" t="e">
        <f>B304/Überblick!$B$15</f>
        <v>#N/A</v>
      </c>
    </row>
    <row r="305" spans="1:3" x14ac:dyDescent="0.25">
      <c r="A305" s="24" t="str">
        <f>'PWE-Ausw'!E223</f>
        <v>Zeitmanagement</v>
      </c>
      <c r="B305" s="24">
        <f>'PWE-Ausw'!F223</f>
        <v>0</v>
      </c>
      <c r="C305" s="19" t="e">
        <f>B305/Überblick!$B$15</f>
        <v>#N/A</v>
      </c>
    </row>
    <row r="306" spans="1:3" x14ac:dyDescent="0.25">
      <c r="A306" s="24" t="str">
        <f>'PWE-Ausw'!E224</f>
        <v>Seminare für und mit (Ehe-)Partnern/-innen/Familienmodule</v>
      </c>
      <c r="B306" s="24">
        <f>'PWE-Ausw'!F224</f>
        <v>0</v>
      </c>
      <c r="C306" s="19" t="e">
        <f>B306/Überblick!$B$15</f>
        <v>#N/A</v>
      </c>
    </row>
    <row r="307" spans="1:3" x14ac:dyDescent="0.25">
      <c r="A307" s="24" t="str">
        <f>'PWE-Ausw'!E225</f>
        <v>Weitere/andere</v>
      </c>
      <c r="B307" s="24">
        <f>'PWE-Ausw'!F225</f>
        <v>0</v>
      </c>
      <c r="C307" s="19" t="e">
        <f>B307/Überblick!$B$15</f>
        <v>#N/A</v>
      </c>
    </row>
    <row r="308" spans="1:3" ht="10.5" customHeight="1" x14ac:dyDescent="0.25">
      <c r="A308" s="24"/>
      <c r="B308" s="24"/>
      <c r="C308" s="19"/>
    </row>
    <row r="309" spans="1:3" x14ac:dyDescent="0.25">
      <c r="A309" s="1" t="str">
        <f>'PWE-Ausw'!B226</f>
        <v>Integrationsmaßnahmen</v>
      </c>
      <c r="B309" s="24"/>
      <c r="C309" s="19"/>
    </row>
    <row r="310" spans="1:3" x14ac:dyDescent="0.25">
      <c r="A310" s="24" t="str">
        <f>'PWE-Ausw'!E227</f>
        <v>Praktika, Hospitationen, Mentoring</v>
      </c>
      <c r="B310" s="24">
        <f>'PWE-Ausw'!F227</f>
        <v>0</v>
      </c>
      <c r="C310" s="19" t="e">
        <f>B310/Überblick!$B$15</f>
        <v>#N/A</v>
      </c>
    </row>
    <row r="311" spans="1:3" x14ac:dyDescent="0.25">
      <c r="A311" s="24" t="str">
        <f>'PWE-Ausw'!E228</f>
        <v>betriebliche Einarbeitung</v>
      </c>
      <c r="B311" s="24">
        <f>'PWE-Ausw'!F228</f>
        <v>0</v>
      </c>
      <c r="C311" s="19" t="e">
        <f>B311/Überblick!$B$15</f>
        <v>#N/A</v>
      </c>
    </row>
    <row r="312" spans="1:3" x14ac:dyDescent="0.25">
      <c r="A312" s="24" t="str">
        <f>'PWE-Ausw'!E229</f>
        <v>Anpassungs-/Umschulungs-/Weiterbildungsmaßnahmen</v>
      </c>
      <c r="B312" s="24">
        <f>'PWE-Ausw'!F229</f>
        <v>0</v>
      </c>
      <c r="C312" s="19" t="e">
        <f>B312/Überblick!$B$15</f>
        <v>#N/A</v>
      </c>
    </row>
    <row r="313" spans="1:3" x14ac:dyDescent="0.25">
      <c r="A313" s="24" t="str">
        <f>'PWE-Ausw'!E230</f>
        <v>Weiterbildung in Unternehmen</v>
      </c>
      <c r="B313" s="24">
        <f>'PWE-Ausw'!F230</f>
        <v>0</v>
      </c>
      <c r="C313" s="19" t="e">
        <f>B313/Überblick!$B$15</f>
        <v>#N/A</v>
      </c>
    </row>
    <row r="314" spans="1:3" x14ac:dyDescent="0.25">
      <c r="A314" s="24" t="str">
        <f>'PWE-Ausw'!E231</f>
        <v>Weitere/andere</v>
      </c>
      <c r="B314" s="24">
        <f>'PWE-Ausw'!F231</f>
        <v>0</v>
      </c>
      <c r="C314" s="19" t="e">
        <f>B314/Überblick!$B$15</f>
        <v>#N/A</v>
      </c>
    </row>
    <row r="315" spans="1:3" x14ac:dyDescent="0.25">
      <c r="A315" s="24"/>
      <c r="B315" s="24"/>
      <c r="C315" s="19"/>
    </row>
    <row r="316" spans="1:3" x14ac:dyDescent="0.25">
      <c r="A316" s="1" t="str">
        <f>'PWE-Ausw'!B353</f>
        <v>Teilnahme an PWE-Online &amp; mind. 1 Kurs wurde erfolgreich abgeschlossen</v>
      </c>
      <c r="B316" s="24"/>
      <c r="C316" s="19"/>
    </row>
    <row r="317" spans="1:3" x14ac:dyDescent="0.25">
      <c r="A317" s="81" t="e">
        <f>'PWE-Ausw'!H353</f>
        <v>#N/A</v>
      </c>
      <c r="B317" s="64"/>
      <c r="C317" s="82"/>
    </row>
    <row r="318" spans="1:3" x14ac:dyDescent="0.25">
      <c r="A318" s="64" t="str">
        <f>'PWE-Ausw'!E354</f>
        <v>Nein</v>
      </c>
      <c r="B318" s="64" t="e">
        <f>'PWE-Ausw'!F354</f>
        <v>#N/A</v>
      </c>
      <c r="C318" s="82" t="e">
        <f>B318/SUM($B$318:$B$320)</f>
        <v>#N/A</v>
      </c>
    </row>
    <row r="319" spans="1:3" x14ac:dyDescent="0.25">
      <c r="A319" s="64" t="str">
        <f>'PWE-Ausw'!E355</f>
        <v>Ja</v>
      </c>
      <c r="B319" s="64" t="e">
        <f>'PWE-Ausw'!F355</f>
        <v>#N/A</v>
      </c>
      <c r="C319" s="82" t="e">
        <f t="shared" ref="C319:C320" si="9">B319/SUM($B$318:$B$320)</f>
        <v>#N/A</v>
      </c>
    </row>
    <row r="320" spans="1:3" x14ac:dyDescent="0.25">
      <c r="A320" s="64" t="str">
        <f>'PWE-Ausw'!E356</f>
        <v>Nicht teilgenommen</v>
      </c>
      <c r="B320" s="64" t="e">
        <f>'PWE-Ausw'!F356</f>
        <v>#N/A</v>
      </c>
      <c r="C320" s="82" t="e">
        <f t="shared" si="9"/>
        <v>#N/A</v>
      </c>
    </row>
    <row r="321" spans="1:3" x14ac:dyDescent="0.25">
      <c r="A321" s="24"/>
    </row>
    <row r="322" spans="1:3" x14ac:dyDescent="0.25">
      <c r="A322" s="1" t="str">
        <f>'PWE-Ausw'!B241</f>
        <v>HDL-Integration</v>
      </c>
      <c r="B322" s="24"/>
      <c r="C322" s="19"/>
    </row>
    <row r="323" spans="1:3" x14ac:dyDescent="0.25">
      <c r="A323" s="81" t="e">
        <f>'PWE-Ausw'!H349</f>
        <v>#N/A</v>
      </c>
      <c r="B323" s="64"/>
      <c r="C323" s="82"/>
    </row>
    <row r="324" spans="1:3" x14ac:dyDescent="0.25">
      <c r="A324" s="64" t="str">
        <f>'PWE-Ausw'!E350</f>
        <v>Nein</v>
      </c>
      <c r="B324" s="64" t="e">
        <f>'PWE-Ausw'!F350</f>
        <v>#N/A</v>
      </c>
      <c r="C324" s="82" t="e">
        <f>B324/SUM($B$324:$B$326)</f>
        <v>#N/A</v>
      </c>
    </row>
    <row r="325" spans="1:3" x14ac:dyDescent="0.25">
      <c r="A325" s="64" t="str">
        <f>'PWE-Ausw'!E351</f>
        <v>Ja, in Privathaushalt als Selbstständige/r</v>
      </c>
      <c r="B325" s="64" t="e">
        <f>'PWE-Ausw'!F351</f>
        <v>#N/A</v>
      </c>
      <c r="C325" s="82" t="e">
        <f>B325/SUM($B$324:$B$326)</f>
        <v>#N/A</v>
      </c>
    </row>
    <row r="326" spans="1:3" x14ac:dyDescent="0.25">
      <c r="A326" s="64" t="str">
        <f>'PWE-Ausw'!E352</f>
        <v>Ja, in anderen Bereich</v>
      </c>
      <c r="B326" s="64" t="e">
        <f>'PWE-Ausw'!F352</f>
        <v>#N/A</v>
      </c>
      <c r="C326" s="82" t="e">
        <f>B326/SUM($B$324:$B$326)</f>
        <v>#N/A</v>
      </c>
    </row>
    <row r="327" spans="1:3" x14ac:dyDescent="0.25">
      <c r="A327" s="24"/>
      <c r="B327" s="24"/>
      <c r="C327" s="19"/>
    </row>
    <row r="328" spans="1:3" x14ac:dyDescent="0.25">
      <c r="A328" s="1" t="str">
        <f>'PWE-Ausw'!B249</f>
        <v>Berufliche Integration</v>
      </c>
      <c r="B328" s="24"/>
      <c r="C328" s="19"/>
    </row>
    <row r="329" spans="1:3" x14ac:dyDescent="0.25">
      <c r="A329" s="24" t="str">
        <f>'PWE-Ausw'!E250</f>
        <v>In sv-pflichtige Beschäftigung</v>
      </c>
      <c r="B329" s="4" t="e">
        <f>'PWE-Ausw'!F250</f>
        <v>#N/A</v>
      </c>
      <c r="C329" s="89" t="e">
        <f>B329/Überblick!$B$15</f>
        <v>#N/A</v>
      </c>
    </row>
    <row r="330" spans="1:3" x14ac:dyDescent="0.25">
      <c r="A330" s="24" t="str">
        <f>'PWE-Ausw'!E251</f>
        <v>In geförderte Beschäftigung</v>
      </c>
      <c r="B330" s="4" t="e">
        <f>'PWE-Ausw'!F251</f>
        <v>#N/A</v>
      </c>
      <c r="C330" s="89" t="e">
        <f>B330/Überblick!$B$15</f>
        <v>#N/A</v>
      </c>
    </row>
    <row r="331" spans="1:3" x14ac:dyDescent="0.25">
      <c r="A331" s="24" t="str">
        <f>'PWE-Ausw'!E252</f>
        <v>In geringfügige Beschäftigung (Minijob)</v>
      </c>
      <c r="B331" s="4" t="e">
        <f>'PWE-Ausw'!F252</f>
        <v>#N/A</v>
      </c>
      <c r="C331" s="89" t="e">
        <f>B331/Überblick!$B$15</f>
        <v>#N/A</v>
      </c>
    </row>
    <row r="332" spans="1:3" x14ac:dyDescent="0.25">
      <c r="A332" s="105" t="str">
        <f>'PWE-Ausw'!E253</f>
        <v>Selbständigkeit</v>
      </c>
      <c r="B332" s="4" t="e">
        <f>'PWE-Ausw'!F253</f>
        <v>#N/A</v>
      </c>
      <c r="C332" s="89" t="e">
        <f>B332/Überblick!$B$15</f>
        <v>#N/A</v>
      </c>
    </row>
    <row r="333" spans="1:3" x14ac:dyDescent="0.25">
      <c r="A333" s="24" t="str">
        <f>'PWE-Ausw'!E254</f>
        <v>Keine berufliche Integration</v>
      </c>
      <c r="B333" s="4" t="e">
        <f>'PWE-Ausw'!F254</f>
        <v>#N/A</v>
      </c>
      <c r="C333" s="89" t="e">
        <f>B333/Überblick!$B$15</f>
        <v>#N/A</v>
      </c>
    </row>
    <row r="334" spans="1:3" x14ac:dyDescent="0.25">
      <c r="A334" s="24" t="str">
        <f>'PWE-Ausw'!E255</f>
        <v>trifft nicht zu (z.B. Pflege)</v>
      </c>
      <c r="B334" s="4" t="e">
        <f>'PWE-Ausw'!F255</f>
        <v>#N/A</v>
      </c>
      <c r="C334" s="89" t="e">
        <f>B334/Überblick!$B$15</f>
        <v>#N/A</v>
      </c>
    </row>
    <row r="335" spans="1:3" x14ac:dyDescent="0.25">
      <c r="A335" s="24"/>
    </row>
    <row r="336" spans="1:3" x14ac:dyDescent="0.25">
      <c r="A336" s="1" t="str">
        <f>'PWE-Ausw'!B256</f>
        <v>Beschäftigungsumfang</v>
      </c>
      <c r="B336" s="24"/>
      <c r="C336" s="19"/>
    </row>
    <row r="337" spans="1:3" x14ac:dyDescent="0.25">
      <c r="A337" s="24" t="str">
        <f>'PWE-Ausw'!E256</f>
        <v>keine Angabe</v>
      </c>
      <c r="B337" s="24" t="e">
        <f>'PWE-Ausw'!F256</f>
        <v>#N/A</v>
      </c>
      <c r="C337" s="19" t="e">
        <f>B337/Überblick!$B$15</f>
        <v>#N/A</v>
      </c>
    </row>
    <row r="338" spans="1:3" x14ac:dyDescent="0.25">
      <c r="A338" s="24" t="str">
        <f>'PWE-Ausw'!E257</f>
        <v>Über 75% der Regelarbeitszeit</v>
      </c>
      <c r="B338" s="24" t="e">
        <f>'PWE-Ausw'!F257</f>
        <v>#N/A</v>
      </c>
      <c r="C338" s="19" t="e">
        <f>B338/Überblick!$B$15</f>
        <v>#N/A</v>
      </c>
    </row>
    <row r="339" spans="1:3" x14ac:dyDescent="0.25">
      <c r="A339" s="24" t="str">
        <f>'PWE-Ausw'!E258</f>
        <v>Über 50% bis 75% der Regelarbeitszeit</v>
      </c>
      <c r="B339" s="24" t="e">
        <f>'PWE-Ausw'!F258</f>
        <v>#N/A</v>
      </c>
      <c r="C339" s="19" t="e">
        <f>B339/Überblick!$B$15</f>
        <v>#N/A</v>
      </c>
    </row>
    <row r="340" spans="1:3" x14ac:dyDescent="0.25">
      <c r="A340" s="24" t="str">
        <f>'PWE-Ausw'!E259</f>
        <v>50% der Regelarbeitszeit</v>
      </c>
      <c r="B340" s="24" t="e">
        <f>'PWE-Ausw'!F259</f>
        <v>#N/A</v>
      </c>
      <c r="C340" s="19" t="e">
        <f>B340/Überblick!$B$15</f>
        <v>#N/A</v>
      </c>
    </row>
    <row r="341" spans="1:3" x14ac:dyDescent="0.25">
      <c r="A341" s="24" t="str">
        <f>'PWE-Ausw'!E260</f>
        <v>Weniger als 50% der Regelarbeitszeit</v>
      </c>
      <c r="B341" s="24" t="e">
        <f>'PWE-Ausw'!F260</f>
        <v>#N/A</v>
      </c>
      <c r="C341" s="19" t="e">
        <f>B341/Überblick!$B$15</f>
        <v>#N/A</v>
      </c>
    </row>
    <row r="342" spans="1:3" x14ac:dyDescent="0.25">
      <c r="A342" s="24"/>
    </row>
    <row r="343" spans="1:3" x14ac:dyDescent="0.25">
      <c r="A343" s="1" t="str">
        <f>'PWE-Ausw'!B261</f>
        <v>unbefristetes Beschäftigungsverhältnis</v>
      </c>
      <c r="B343" s="24"/>
      <c r="C343" s="19"/>
    </row>
    <row r="344" spans="1:3" x14ac:dyDescent="0.25">
      <c r="A344" s="24" t="str">
        <f>'PWE-Ausw'!E261</f>
        <v>keine Angabe</v>
      </c>
      <c r="B344" s="24" t="e">
        <f>'PWE-Ausw'!F261</f>
        <v>#N/A</v>
      </c>
      <c r="C344" s="19" t="e">
        <f>B344/Überblick!$B$15</f>
        <v>#N/A</v>
      </c>
    </row>
    <row r="345" spans="1:3" x14ac:dyDescent="0.25">
      <c r="A345" s="24" t="str">
        <f>'PWE-Ausw'!E262</f>
        <v>nein</v>
      </c>
      <c r="B345" s="24" t="e">
        <f>'PWE-Ausw'!F262</f>
        <v>#N/A</v>
      </c>
      <c r="C345" s="19" t="e">
        <f>B345/Überblick!$B$15</f>
        <v>#N/A</v>
      </c>
    </row>
    <row r="346" spans="1:3" x14ac:dyDescent="0.25">
      <c r="A346" s="24" t="str">
        <f>'PWE-Ausw'!E263</f>
        <v>ja</v>
      </c>
      <c r="B346" s="24" t="e">
        <f>'PWE-Ausw'!F263</f>
        <v>#N/A</v>
      </c>
      <c r="C346" s="19" t="e">
        <f>B346/Überblick!$B$15</f>
        <v>#N/A</v>
      </c>
    </row>
    <row r="347" spans="1:3" x14ac:dyDescent="0.25">
      <c r="A347" s="24"/>
      <c r="B347" s="4"/>
      <c r="C347" s="89"/>
    </row>
    <row r="348" spans="1:3" x14ac:dyDescent="0.25">
      <c r="A348" s="1" t="str">
        <f>'PWE-Ausw'!B286</f>
        <v>in Ursprungsberuf vermittelt</v>
      </c>
      <c r="B348" s="4"/>
      <c r="C348" s="89"/>
    </row>
    <row r="349" spans="1:3" x14ac:dyDescent="0.25">
      <c r="A349" s="24" t="str">
        <f>'PWE-Ausw'!E286</f>
        <v>keine Angabe</v>
      </c>
      <c r="B349" s="4" t="e">
        <f>'PWE-Ausw'!F286</f>
        <v>#N/A</v>
      </c>
      <c r="C349" s="89" t="e">
        <f>B349/Überblick!$B$15</f>
        <v>#N/A</v>
      </c>
    </row>
    <row r="350" spans="1:3" x14ac:dyDescent="0.25">
      <c r="A350" s="24" t="str">
        <f>'PWE-Ausw'!E287</f>
        <v>nein</v>
      </c>
      <c r="B350" s="4" t="e">
        <f>'PWE-Ausw'!F287</f>
        <v>#N/A</v>
      </c>
      <c r="C350" s="89" t="e">
        <f>B350/Überblick!$B$15</f>
        <v>#N/A</v>
      </c>
    </row>
    <row r="351" spans="1:3" x14ac:dyDescent="0.25">
      <c r="A351" s="24" t="str">
        <f>'PWE-Ausw'!E288</f>
        <v>ja</v>
      </c>
      <c r="B351" s="4" t="e">
        <f>'PWE-Ausw'!F288</f>
        <v>#N/A</v>
      </c>
      <c r="C351" s="89" t="e">
        <f>B351/Überblick!$B$15</f>
        <v>#N/A</v>
      </c>
    </row>
    <row r="352" spans="1:3" x14ac:dyDescent="0.25">
      <c r="A352" s="24"/>
      <c r="B352" s="4"/>
      <c r="C352" s="89"/>
    </row>
    <row r="353" spans="1:3" x14ac:dyDescent="0.25">
      <c r="A353" s="1" t="str">
        <f>'PWE-Ausw'!B289</f>
        <v>qualifikationsgerecht vermittelt</v>
      </c>
      <c r="B353" s="4"/>
      <c r="C353" s="89"/>
    </row>
    <row r="354" spans="1:3" x14ac:dyDescent="0.25">
      <c r="A354" s="24" t="str">
        <f>'PWE-Ausw'!E289</f>
        <v>keine Angabe</v>
      </c>
      <c r="B354" s="4" t="e">
        <f>'PWE-Ausw'!F289</f>
        <v>#N/A</v>
      </c>
      <c r="C354" s="89" t="e">
        <f>B354/Überblick!$B$15</f>
        <v>#N/A</v>
      </c>
    </row>
    <row r="355" spans="1:3" x14ac:dyDescent="0.25">
      <c r="A355" s="24" t="str">
        <f>'PWE-Ausw'!E290</f>
        <v>nein</v>
      </c>
      <c r="B355" s="4" t="e">
        <f>'PWE-Ausw'!F290</f>
        <v>#N/A</v>
      </c>
      <c r="C355" s="89" t="e">
        <f>B355/Überblick!$B$15</f>
        <v>#N/A</v>
      </c>
    </row>
    <row r="356" spans="1:3" x14ac:dyDescent="0.25">
      <c r="A356" s="24" t="str">
        <f>'PWE-Ausw'!E291</f>
        <v>ja</v>
      </c>
      <c r="B356" s="4" t="e">
        <f>'PWE-Ausw'!F291</f>
        <v>#N/A</v>
      </c>
      <c r="C356" s="89" t="e">
        <f>B356/Überblick!$B$15</f>
        <v>#N/A</v>
      </c>
    </row>
    <row r="357" spans="1:3" x14ac:dyDescent="0.25">
      <c r="A357" s="24"/>
      <c r="B357" s="4"/>
      <c r="C357" s="89"/>
    </row>
    <row r="358" spans="1:3" x14ac:dyDescent="0.25">
      <c r="A358" s="1" t="str">
        <f>'PWE-Ausw'!B292</f>
        <v>Fand eine Nachbetreuung statt:</v>
      </c>
      <c r="B358" s="4"/>
      <c r="C358" s="89"/>
    </row>
    <row r="359" spans="1:3" x14ac:dyDescent="0.25">
      <c r="A359" s="24" t="str">
        <f>'PWE-Ausw'!E293</f>
        <v>nein</v>
      </c>
      <c r="B359" s="4" t="e">
        <f>'PWE-Ausw'!F293</f>
        <v>#N/A</v>
      </c>
      <c r="C359" s="89" t="e">
        <f>B359/Überblick!$B$15</f>
        <v>#N/A</v>
      </c>
    </row>
    <row r="360" spans="1:3" x14ac:dyDescent="0.25">
      <c r="A360" s="24" t="str">
        <f>'PWE-Ausw'!E294</f>
        <v>ja</v>
      </c>
      <c r="B360" s="4" t="e">
        <f>'PWE-Ausw'!F294</f>
        <v>#N/A</v>
      </c>
      <c r="C360" s="89" t="e">
        <f>B360/Überblick!$B$15</f>
        <v>#N/A</v>
      </c>
    </row>
    <row r="361" spans="1:3" x14ac:dyDescent="0.25">
      <c r="A361" s="24"/>
      <c r="B361" s="4"/>
      <c r="C361" s="89"/>
    </row>
    <row r="362" spans="1:3" x14ac:dyDescent="0.25">
      <c r="A362" s="1" t="str">
        <f>'PWE-Ausw'!B295</f>
        <v>Statuswechsel während Nachbetreuung</v>
      </c>
      <c r="B362" s="4"/>
      <c r="C362" s="89"/>
    </row>
    <row r="363" spans="1:3" x14ac:dyDescent="0.25">
      <c r="A363" s="24" t="str">
        <f>'PWE-Ausw'!E295</f>
        <v>keine Angabe</v>
      </c>
      <c r="B363" s="4" t="e">
        <f>'PWE-Ausw'!F295</f>
        <v>#N/A</v>
      </c>
      <c r="C363" s="89" t="e">
        <f>B363/Überblick!$B$15</f>
        <v>#N/A</v>
      </c>
    </row>
    <row r="364" spans="1:3" x14ac:dyDescent="0.25">
      <c r="A364" s="24" t="str">
        <f>'PWE-Ausw'!E296</f>
        <v>sv-pflichtige Beschäftigung</v>
      </c>
      <c r="B364" s="4" t="e">
        <f>'PWE-Ausw'!F296</f>
        <v>#N/A</v>
      </c>
      <c r="C364" s="89" t="e">
        <f>B364/Überblick!$B$15</f>
        <v>#N/A</v>
      </c>
    </row>
    <row r="365" spans="1:3" x14ac:dyDescent="0.25">
      <c r="A365" s="24" t="str">
        <f>'PWE-Ausw'!E297</f>
        <v>Selbstständigkeit</v>
      </c>
      <c r="B365" s="4" t="e">
        <f>'PWE-Ausw'!F297</f>
        <v>#N/A</v>
      </c>
      <c r="C365" s="89" t="e">
        <f>B365/Überblick!$B$15</f>
        <v>#N/A</v>
      </c>
    </row>
    <row r="366" spans="1:3" x14ac:dyDescent="0.25">
      <c r="A366" s="24" t="str">
        <f>'PWE-Ausw'!E298</f>
        <v>Gescheiterter Wiedereinstieg</v>
      </c>
      <c r="B366" s="4" t="e">
        <f>'PWE-Ausw'!F298</f>
        <v>#N/A</v>
      </c>
      <c r="C366" s="89" t="e">
        <f>B366/Überblick!$B$15</f>
        <v>#N/A</v>
      </c>
    </row>
    <row r="367" spans="1:3" x14ac:dyDescent="0.25">
      <c r="A367" s="24" t="str">
        <f>'PWE-Ausw'!E299</f>
        <v>Nein</v>
      </c>
      <c r="B367" s="4" t="e">
        <f>'PWE-Ausw'!F299</f>
        <v>#N/A</v>
      </c>
      <c r="C367" s="89" t="e">
        <f>B367/Überblick!$B$15</f>
        <v>#N/A</v>
      </c>
    </row>
    <row r="368" spans="1:3" x14ac:dyDescent="0.25">
      <c r="A368" s="24" t="str">
        <f>'PWE-Ausw'!E300</f>
        <v>Sonstiges</v>
      </c>
      <c r="B368" s="4" t="e">
        <f>'PWE-Ausw'!F300</f>
        <v>#N/A</v>
      </c>
      <c r="C368" s="89" t="e">
        <f>B368/Überblick!$B$15</f>
        <v>#N/A</v>
      </c>
    </row>
    <row r="369" spans="1:3" x14ac:dyDescent="0.25">
      <c r="A369" s="24"/>
      <c r="B369" s="4"/>
      <c r="C369" s="89"/>
    </row>
    <row r="370" spans="1:3" x14ac:dyDescent="0.25">
      <c r="A370" s="1" t="str">
        <f>'PWE-Ausw'!B301</f>
        <v>HDL beansprucht</v>
      </c>
      <c r="B370" s="4"/>
      <c r="C370" s="89"/>
    </row>
    <row r="371" spans="1:3" x14ac:dyDescent="0.25">
      <c r="A371" s="24" t="str">
        <f>'PWE-Ausw'!E302</f>
        <v>nein</v>
      </c>
      <c r="B371" s="4" t="e">
        <f>'PWE-Ausw'!F302</f>
        <v>#N/A</v>
      </c>
      <c r="C371" s="89" t="e">
        <f>B371/Überblick!$B$15</f>
        <v>#N/A</v>
      </c>
    </row>
    <row r="372" spans="1:3" x14ac:dyDescent="0.25">
      <c r="A372" s="24" t="str">
        <f>'PWE-Ausw'!E303</f>
        <v>ja</v>
      </c>
      <c r="B372" s="4" t="e">
        <f>'PWE-Ausw'!F303</f>
        <v>#N/A</v>
      </c>
      <c r="C372" s="89" t="e">
        <f>B372/Überblick!$B$15</f>
        <v>#N/A</v>
      </c>
    </row>
    <row r="373" spans="1:3" x14ac:dyDescent="0.25">
      <c r="A373" s="24"/>
      <c r="B373" s="4"/>
      <c r="C373" s="89"/>
    </row>
    <row r="374" spans="1:3" x14ac:dyDescent="0.25">
      <c r="A374" s="24"/>
      <c r="B374" s="24"/>
    </row>
    <row r="375" spans="1:3" x14ac:dyDescent="0.25">
      <c r="A375" s="24"/>
      <c r="B375" s="24"/>
    </row>
    <row r="376" spans="1:3" x14ac:dyDescent="0.25">
      <c r="A376" s="24"/>
      <c r="B376" s="24"/>
    </row>
  </sheetData>
  <mergeCells count="3">
    <mergeCell ref="A3:C3"/>
    <mergeCell ref="A2:C2"/>
    <mergeCell ref="B249:C249"/>
  </mergeCells>
  <conditionalFormatting sqref="B7">
    <cfRule type="cellIs" dxfId="0" priority="1" operator="equal">
      <formula>"DATEN nicht aktualisiert"</formula>
    </cfRule>
  </conditionalFormatting>
  <pageMargins left="0.7" right="0.7" top="0.75" bottom="0.75" header="0.3" footer="0.3"/>
  <pageSetup paperSize="9" orientation="portrait" r:id="rId1"/>
  <headerFooter differentFirst="1">
    <oddHeader>&amp;CAuswertung der Teilnehmenden im ESF-Programm PWE</oddHeader>
    <oddFooter>&amp;C&amp;P/&amp;N</oddFooter>
    <firstHeader>&amp;R&amp;D</firstHeader>
  </headerFooter>
  <rowBreaks count="4" manualBreakCount="4">
    <brk id="69" max="16383" man="1"/>
    <brk id="116" max="16383" man="1"/>
    <brk id="203" max="16383" man="1"/>
    <brk id="248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5"/>
  <sheetViews>
    <sheetView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28.140625" style="3" customWidth="1"/>
    <col min="2" max="2" width="40.28515625" bestFit="1" customWidth="1"/>
    <col min="4" max="4" width="31.42578125" customWidth="1"/>
  </cols>
  <sheetData>
    <row r="1" spans="1:6" s="1" customFormat="1" x14ac:dyDescent="0.25">
      <c r="A1" s="11" t="s">
        <v>41</v>
      </c>
      <c r="B1" s="10" t="s">
        <v>49</v>
      </c>
      <c r="C1" s="10" t="s">
        <v>50</v>
      </c>
      <c r="D1" s="10" t="s">
        <v>51</v>
      </c>
      <c r="E1" s="10" t="s">
        <v>48</v>
      </c>
      <c r="F1" s="10" t="s">
        <v>52</v>
      </c>
    </row>
    <row r="2" spans="1:6" s="1" customFormat="1" x14ac:dyDescent="0.25">
      <c r="A2" s="14" t="s">
        <v>96</v>
      </c>
      <c r="B2" s="13" t="s">
        <v>130</v>
      </c>
      <c r="C2" s="16"/>
      <c r="D2" s="16"/>
      <c r="E2" s="16"/>
      <c r="F2" s="16"/>
    </row>
    <row r="3" spans="1:6" x14ac:dyDescent="0.25">
      <c r="A3" t="s">
        <v>44</v>
      </c>
      <c r="B3" s="4" t="s">
        <v>0</v>
      </c>
      <c r="C3" s="4"/>
      <c r="D3" s="4" t="s">
        <v>45</v>
      </c>
      <c r="E3" s="4" t="e">
        <f>SUMPRODUCT((INDEX(Rohdaten!$A$2:$GG$9999,,MATCH(B3,Rohdaten!$1:$1,))&amp;""=C3&amp;"")*(Rohdaten!$A$2:$A$9999&lt;&gt;""))</f>
        <v>#N/A</v>
      </c>
      <c r="F3" s="4" t="e">
        <f t="shared" ref="F3:F20" si="0">IF(MATCH(B3,$B:$B,0)=ROW(B3),SUM(E3:E5),"")</f>
        <v>#N/A</v>
      </c>
    </row>
    <row r="4" spans="1:6" x14ac:dyDescent="0.25">
      <c r="A4"/>
      <c r="B4" s="4" t="s">
        <v>0</v>
      </c>
      <c r="C4" s="4">
        <v>0</v>
      </c>
      <c r="D4" s="4" t="s">
        <v>42</v>
      </c>
      <c r="E4" s="4" t="e">
        <f>SUMPRODUCT((INDEX(Rohdaten!$A$2:$GG$9999,,MATCH(B4,Rohdaten!$1:$1,))&amp;""=C4&amp;"")*(Rohdaten!$A$2:$A$9999&lt;&gt;""))</f>
        <v>#N/A</v>
      </c>
      <c r="F4" s="4" t="str">
        <f t="shared" si="0"/>
        <v/>
      </c>
    </row>
    <row r="5" spans="1:6" x14ac:dyDescent="0.25">
      <c r="A5"/>
      <c r="B5" s="4" t="s">
        <v>0</v>
      </c>
      <c r="C5" s="4">
        <v>1</v>
      </c>
      <c r="D5" s="4" t="s">
        <v>43</v>
      </c>
      <c r="E5" s="4" t="e">
        <f>SUMPRODUCT((INDEX(Rohdaten!$A$2:$GG$9999,,MATCH(B5,Rohdaten!$1:$1,))&amp;""=C5&amp;"")*(Rohdaten!$A$2:$A$9999&lt;&gt;""))</f>
        <v>#N/A</v>
      </c>
      <c r="F5" s="4" t="str">
        <f t="shared" si="0"/>
        <v/>
      </c>
    </row>
    <row r="6" spans="1:6" x14ac:dyDescent="0.25">
      <c r="A6" t="s">
        <v>98</v>
      </c>
      <c r="B6" s="4" t="s">
        <v>1</v>
      </c>
      <c r="C6" s="4"/>
      <c r="D6" s="4" t="s">
        <v>45</v>
      </c>
      <c r="E6" s="4" t="e">
        <f>SUMPRODUCT((INDEX(Rohdaten!$A$2:$GG$9999,,MATCH(B6,Rohdaten!$1:$1,))&amp;""=C6&amp;"")*(Rohdaten!$A$2:$A$9999&lt;&gt;""))</f>
        <v>#N/A</v>
      </c>
      <c r="F6" s="4" t="e">
        <f t="shared" si="0"/>
        <v>#N/A</v>
      </c>
    </row>
    <row r="7" spans="1:6" x14ac:dyDescent="0.25">
      <c r="A7"/>
      <c r="B7" s="4" t="s">
        <v>1</v>
      </c>
      <c r="C7" s="4">
        <v>0</v>
      </c>
      <c r="D7" s="4" t="s">
        <v>46</v>
      </c>
      <c r="E7" s="4" t="e">
        <f>SUMPRODUCT((INDEX(Rohdaten!$A$2:$GG$9999,,MATCH(B7,Rohdaten!$1:$1,))&amp;""=C7&amp;"")*(Rohdaten!$A$2:$A$9999&lt;&gt;""))</f>
        <v>#N/A</v>
      </c>
      <c r="F7" s="4" t="str">
        <f t="shared" si="0"/>
        <v/>
      </c>
    </row>
    <row r="8" spans="1:6" x14ac:dyDescent="0.25">
      <c r="A8"/>
      <c r="B8" s="4" t="s">
        <v>1</v>
      </c>
      <c r="C8" s="4">
        <v>1</v>
      </c>
      <c r="D8" s="4" t="s">
        <v>47</v>
      </c>
      <c r="E8" s="4" t="e">
        <f>SUMPRODUCT((INDEX(Rohdaten!$A$2:$GG$9999,,MATCH(B8,Rohdaten!$1:$1,))&amp;""=C8&amp;"")*(Rohdaten!$A$2:$A$9999&lt;&gt;""))</f>
        <v>#N/A</v>
      </c>
      <c r="F8" s="4" t="str">
        <f t="shared" si="0"/>
        <v/>
      </c>
    </row>
    <row r="9" spans="1:6" x14ac:dyDescent="0.25">
      <c r="A9" t="s">
        <v>336</v>
      </c>
      <c r="B9" s="4" t="s">
        <v>2</v>
      </c>
      <c r="C9" s="4"/>
      <c r="D9" s="4" t="s">
        <v>45</v>
      </c>
      <c r="E9" s="4" t="e">
        <f>SUMPRODUCT((INDEX(Rohdaten!$A$2:$GG$9999,,MATCH(B9,Rohdaten!$1:$1,))&amp;""=C9&amp;"")*(Rohdaten!$A$2:$A$9999&lt;&gt;""))</f>
        <v>#N/A</v>
      </c>
      <c r="F9" s="4" t="e">
        <f t="shared" si="0"/>
        <v>#N/A</v>
      </c>
    </row>
    <row r="10" spans="1:6" x14ac:dyDescent="0.25">
      <c r="A10"/>
      <c r="B10" s="4" t="s">
        <v>2</v>
      </c>
      <c r="C10" s="4">
        <v>0</v>
      </c>
      <c r="D10" s="4" t="s">
        <v>46</v>
      </c>
      <c r="E10" s="4" t="e">
        <f>SUMPRODUCT((INDEX(Rohdaten!$A$2:$GG$9999,,MATCH(B10,Rohdaten!$1:$1,))&amp;""=C10&amp;"")*(Rohdaten!$A$2:$A$9999&lt;&gt;""))</f>
        <v>#N/A</v>
      </c>
      <c r="F10" s="4" t="str">
        <f t="shared" si="0"/>
        <v/>
      </c>
    </row>
    <row r="11" spans="1:6" x14ac:dyDescent="0.25">
      <c r="A11"/>
      <c r="B11" s="4" t="s">
        <v>2</v>
      </c>
      <c r="C11" s="4">
        <v>1</v>
      </c>
      <c r="D11" s="4" t="s">
        <v>47</v>
      </c>
      <c r="E11" s="4" t="e">
        <f>SUMPRODUCT((INDEX(Rohdaten!$A$2:$GG$9999,,MATCH(B11,Rohdaten!$1:$1,))&amp;""=C11&amp;"")*(Rohdaten!$A$2:$A$9999&lt;&gt;""))</f>
        <v>#N/A</v>
      </c>
      <c r="F11" s="4" t="str">
        <f t="shared" si="0"/>
        <v/>
      </c>
    </row>
    <row r="12" spans="1:6" x14ac:dyDescent="0.25">
      <c r="A12" t="s">
        <v>99</v>
      </c>
      <c r="B12" s="4" t="s">
        <v>3</v>
      </c>
      <c r="C12" s="4"/>
      <c r="D12" s="4" t="s">
        <v>45</v>
      </c>
      <c r="E12" s="4" t="e">
        <f>SUMPRODUCT((INDEX(Rohdaten!$A$2:$GG$9999,,MATCH(B12,Rohdaten!$1:$1,))&amp;""=C12&amp;"")*(Rohdaten!$A$2:$A$9999&lt;&gt;""))</f>
        <v>#N/A</v>
      </c>
      <c r="F12" s="4" t="e">
        <f t="shared" si="0"/>
        <v>#N/A</v>
      </c>
    </row>
    <row r="13" spans="1:6" x14ac:dyDescent="0.25">
      <c r="A13"/>
      <c r="B13" s="4" t="s">
        <v>3</v>
      </c>
      <c r="C13" s="4">
        <v>0</v>
      </c>
      <c r="D13" s="4" t="s">
        <v>46</v>
      </c>
      <c r="E13" s="4" t="e">
        <f>SUMPRODUCT((INDEX(Rohdaten!$A$2:$GG$9999,,MATCH(B13,Rohdaten!$1:$1,))&amp;""=C13&amp;"")*(Rohdaten!$A$2:$A$9999&lt;&gt;""))</f>
        <v>#N/A</v>
      </c>
      <c r="F13" s="4" t="str">
        <f t="shared" si="0"/>
        <v/>
      </c>
    </row>
    <row r="14" spans="1:6" x14ac:dyDescent="0.25">
      <c r="A14"/>
      <c r="B14" s="4" t="s">
        <v>3</v>
      </c>
      <c r="C14" s="4">
        <v>1</v>
      </c>
      <c r="D14" s="4" t="s">
        <v>47</v>
      </c>
      <c r="E14" s="4" t="e">
        <f>SUMPRODUCT((INDEX(Rohdaten!$A$2:$GG$9999,,MATCH(B14,Rohdaten!$1:$1,))&amp;""=C14&amp;"")*(Rohdaten!$A$2:$A$9999&lt;&gt;""))</f>
        <v>#N/A</v>
      </c>
      <c r="F14" s="4" t="str">
        <f t="shared" si="0"/>
        <v/>
      </c>
    </row>
    <row r="15" spans="1:6" x14ac:dyDescent="0.25">
      <c r="A15" t="s">
        <v>115</v>
      </c>
      <c r="B15" s="4" t="s">
        <v>4</v>
      </c>
      <c r="C15" s="4"/>
      <c r="D15" s="4" t="s">
        <v>45</v>
      </c>
      <c r="E15" s="4" t="e">
        <f>SUMPRODUCT((INDEX(Rohdaten!$A$2:$GG$9999,,MATCH(B15,Rohdaten!$1:$1,))&amp;""=C15&amp;"")*(Rohdaten!$A$2:$A$9999&lt;&gt;""))</f>
        <v>#N/A</v>
      </c>
      <c r="F15" s="4" t="e">
        <f t="shared" si="0"/>
        <v>#N/A</v>
      </c>
    </row>
    <row r="16" spans="1:6" x14ac:dyDescent="0.25">
      <c r="A16"/>
      <c r="B16" s="4" t="s">
        <v>4</v>
      </c>
      <c r="C16" s="4">
        <v>0</v>
      </c>
      <c r="D16" s="4" t="s">
        <v>46</v>
      </c>
      <c r="E16" s="4" t="e">
        <f>SUMPRODUCT((INDEX(Rohdaten!$A$2:$GG$9999,,MATCH(B16,Rohdaten!$1:$1,))&amp;""=C16&amp;"")*(Rohdaten!$A$2:$A$9999&lt;&gt;""))</f>
        <v>#N/A</v>
      </c>
      <c r="F16" s="4" t="str">
        <f t="shared" si="0"/>
        <v/>
      </c>
    </row>
    <row r="17" spans="1:6" x14ac:dyDescent="0.25">
      <c r="A17"/>
      <c r="B17" s="4" t="s">
        <v>4</v>
      </c>
      <c r="C17" s="4">
        <v>1</v>
      </c>
      <c r="D17" s="4" t="s">
        <v>47</v>
      </c>
      <c r="E17" s="4" t="e">
        <f>SUMPRODUCT((INDEX(Rohdaten!$A$2:$GG$9999,,MATCH(B17,Rohdaten!$1:$1,))&amp;""=C17&amp;"")*(Rohdaten!$A$2:$A$9999&lt;&gt;""))</f>
        <v>#N/A</v>
      </c>
      <c r="F17" s="4" t="str">
        <f t="shared" si="0"/>
        <v/>
      </c>
    </row>
    <row r="18" spans="1:6" x14ac:dyDescent="0.25">
      <c r="A18" t="s">
        <v>100</v>
      </c>
      <c r="B18" s="4" t="s">
        <v>5</v>
      </c>
      <c r="C18" s="4"/>
      <c r="D18" s="4" t="s">
        <v>45</v>
      </c>
      <c r="E18" s="4" t="e">
        <f>SUMPRODUCT((INDEX(Rohdaten!$A$2:$GG$9999,,MATCH(B18,Rohdaten!$1:$1,))&amp;""=C18&amp;"")*(Rohdaten!$A$2:$A$9999&lt;&gt;""))</f>
        <v>#N/A</v>
      </c>
      <c r="F18" s="4" t="e">
        <f t="shared" si="0"/>
        <v>#N/A</v>
      </c>
    </row>
    <row r="19" spans="1:6" x14ac:dyDescent="0.25">
      <c r="A19"/>
      <c r="B19" s="4" t="s">
        <v>5</v>
      </c>
      <c r="C19" s="4">
        <v>0</v>
      </c>
      <c r="D19" s="4" t="s">
        <v>46</v>
      </c>
      <c r="E19" s="4" t="e">
        <f>SUMPRODUCT((INDEX(Rohdaten!$A$2:$GG$9999,,MATCH(B19,Rohdaten!$1:$1,))&amp;""=C19&amp;"")*(Rohdaten!$A$2:$A$9999&lt;&gt;""))</f>
        <v>#N/A</v>
      </c>
      <c r="F19" s="4" t="str">
        <f t="shared" si="0"/>
        <v/>
      </c>
    </row>
    <row r="20" spans="1:6" x14ac:dyDescent="0.25">
      <c r="A20"/>
      <c r="B20" s="4" t="s">
        <v>5</v>
      </c>
      <c r="C20" s="4">
        <v>1</v>
      </c>
      <c r="D20" s="4" t="s">
        <v>47</v>
      </c>
      <c r="E20" s="4" t="e">
        <f>SUMPRODUCT((INDEX(Rohdaten!$A$2:$GG$9999,,MATCH(B20,Rohdaten!$1:$1,))&amp;""=C20&amp;"")*(Rohdaten!$A$2:$A$9999&lt;&gt;""))</f>
        <v>#N/A</v>
      </c>
      <c r="F20" s="4" t="str">
        <f t="shared" si="0"/>
        <v/>
      </c>
    </row>
    <row r="21" spans="1:6" x14ac:dyDescent="0.25">
      <c r="A21" t="s">
        <v>101</v>
      </c>
      <c r="B21" s="4" t="s">
        <v>6</v>
      </c>
      <c r="C21" s="4"/>
      <c r="D21" s="4" t="s">
        <v>45</v>
      </c>
      <c r="E21" s="4" t="e">
        <f>SUMPRODUCT((INDEX(Rohdaten!$A$2:$GG$9999,,MATCH(B21,Rohdaten!$1:$1,))&amp;""=C21&amp;"")*(Rohdaten!$A$2:$A$9999&lt;&gt;""))</f>
        <v>#N/A</v>
      </c>
      <c r="F21" s="4" t="e">
        <f t="shared" ref="F21:F27" si="1">IF(MATCH(B21,$B:$B,0)=ROW(B21),SUM(E21:E31),"")</f>
        <v>#N/A</v>
      </c>
    </row>
    <row r="22" spans="1:6" x14ac:dyDescent="0.25">
      <c r="A22"/>
      <c r="B22" s="4" t="s">
        <v>6</v>
      </c>
      <c r="C22" s="4">
        <v>0</v>
      </c>
      <c r="D22" s="5" t="s">
        <v>58</v>
      </c>
      <c r="E22" s="4" t="e">
        <f>SUMPRODUCT((INDEX(Rohdaten!$A$2:$GG$9999,,MATCH(B22,Rohdaten!$1:$1,))&amp;""=C22&amp;"")*(Rohdaten!$A$2:$A$9999&lt;&gt;""))</f>
        <v>#N/A</v>
      </c>
      <c r="F22" s="4" t="str">
        <f t="shared" si="1"/>
        <v/>
      </c>
    </row>
    <row r="23" spans="1:6" x14ac:dyDescent="0.25">
      <c r="A23"/>
      <c r="B23" s="4" t="s">
        <v>6</v>
      </c>
      <c r="C23" s="4">
        <v>1</v>
      </c>
      <c r="D23" s="5" t="s">
        <v>59</v>
      </c>
      <c r="E23" s="4" t="e">
        <f>SUMPRODUCT((INDEX(Rohdaten!$A$2:$GG$9999,,MATCH(B23,Rohdaten!$1:$1,))&amp;""=C23&amp;"")*(Rohdaten!$A$2:$A$9999&lt;&gt;""))</f>
        <v>#N/A</v>
      </c>
      <c r="F23" s="4" t="str">
        <f t="shared" si="1"/>
        <v/>
      </c>
    </row>
    <row r="24" spans="1:6" x14ac:dyDescent="0.25">
      <c r="A24"/>
      <c r="B24" s="4" t="s">
        <v>6</v>
      </c>
      <c r="C24" s="4">
        <v>2</v>
      </c>
      <c r="D24" s="5" t="s">
        <v>60</v>
      </c>
      <c r="E24" s="4" t="e">
        <f>SUMPRODUCT((INDEX(Rohdaten!$A$2:$GG$9999,,MATCH(B24,Rohdaten!$1:$1,))&amp;""=C24&amp;"")*(Rohdaten!$A$2:$A$9999&lt;&gt;""))</f>
        <v>#N/A</v>
      </c>
      <c r="F24" s="4" t="str">
        <f t="shared" si="1"/>
        <v/>
      </c>
    </row>
    <row r="25" spans="1:6" x14ac:dyDescent="0.25">
      <c r="A25"/>
      <c r="B25" s="4" t="s">
        <v>6</v>
      </c>
      <c r="C25" s="4">
        <v>3</v>
      </c>
      <c r="D25" s="5" t="s">
        <v>61</v>
      </c>
      <c r="E25" s="4" t="e">
        <f>SUMPRODUCT((INDEX(Rohdaten!$A$2:$GG$9999,,MATCH(B25,Rohdaten!$1:$1,))&amp;""=C25&amp;"")*(Rohdaten!$A$2:$A$9999&lt;&gt;""))</f>
        <v>#N/A</v>
      </c>
      <c r="F25" s="4" t="str">
        <f t="shared" si="1"/>
        <v/>
      </c>
    </row>
    <row r="26" spans="1:6" x14ac:dyDescent="0.25">
      <c r="A26"/>
      <c r="B26" s="4" t="s">
        <v>6</v>
      </c>
      <c r="C26" s="4">
        <v>4</v>
      </c>
      <c r="D26" s="5" t="s">
        <v>62</v>
      </c>
      <c r="E26" s="4" t="e">
        <f>SUMPRODUCT((INDEX(Rohdaten!$A$2:$GG$9999,,MATCH(B26,Rohdaten!$1:$1,))&amp;""=C26&amp;"")*(Rohdaten!$A$2:$A$9999&lt;&gt;""))</f>
        <v>#N/A</v>
      </c>
      <c r="F26" s="4" t="str">
        <f t="shared" si="1"/>
        <v/>
      </c>
    </row>
    <row r="27" spans="1:6" x14ac:dyDescent="0.25">
      <c r="A27"/>
      <c r="B27" s="4" t="s">
        <v>6</v>
      </c>
      <c r="C27" s="4">
        <v>5</v>
      </c>
      <c r="D27" s="5" t="s">
        <v>63</v>
      </c>
      <c r="E27" s="4" t="e">
        <f>SUMPRODUCT((INDEX(Rohdaten!$A$2:$GG$9999,,MATCH(B27,Rohdaten!$1:$1,))&amp;""=C27&amp;"")*(Rohdaten!$A$2:$A$9999&lt;&gt;""))</f>
        <v>#N/A</v>
      </c>
      <c r="F27" s="4" t="str">
        <f t="shared" si="1"/>
        <v/>
      </c>
    </row>
    <row r="28" spans="1:6" x14ac:dyDescent="0.25">
      <c r="A28"/>
      <c r="B28" s="4" t="s">
        <v>6</v>
      </c>
      <c r="C28" s="4">
        <v>6</v>
      </c>
      <c r="D28" s="5" t="s">
        <v>64</v>
      </c>
      <c r="E28" s="4" t="e">
        <f>SUMPRODUCT((INDEX(Rohdaten!$A$2:$GG$9999,,MATCH(B28,Rohdaten!$1:$1,))&amp;""=C28&amp;"")*(Rohdaten!$A$2:$A$9999&lt;&gt;""))</f>
        <v>#N/A</v>
      </c>
      <c r="F28" s="4" t="str">
        <f>IF(MATCH(B28,$B:$B,0)=ROW(B28),SUM(E28:E37),"")</f>
        <v/>
      </c>
    </row>
    <row r="29" spans="1:6" x14ac:dyDescent="0.25">
      <c r="A29"/>
      <c r="B29" s="4" t="s">
        <v>6</v>
      </c>
      <c r="C29" s="4">
        <v>7</v>
      </c>
      <c r="D29" s="5" t="s">
        <v>65</v>
      </c>
      <c r="E29" s="4" t="e">
        <f>SUMPRODUCT((INDEX(Rohdaten!$A$2:$GG$9999,,MATCH(B29,Rohdaten!$1:$1,))&amp;""=C29&amp;"")*(Rohdaten!$A$2:$A$9999&lt;&gt;""))</f>
        <v>#N/A</v>
      </c>
      <c r="F29" s="4" t="str">
        <f>IF(MATCH(B29,$B:$B,0)=ROW(B29),SUM(E29:E37),"")</f>
        <v/>
      </c>
    </row>
    <row r="30" spans="1:6" x14ac:dyDescent="0.25">
      <c r="A30"/>
      <c r="B30" s="4" t="s">
        <v>6</v>
      </c>
      <c r="C30" s="4">
        <v>8</v>
      </c>
      <c r="D30" s="5" t="s">
        <v>66</v>
      </c>
      <c r="E30" s="4" t="e">
        <f>SUMPRODUCT((INDEX(Rohdaten!$A$2:$GG$9999,,MATCH(B30,Rohdaten!$1:$1,))&amp;""=C30&amp;"")*(Rohdaten!$A$2:$A$9999&lt;&gt;""))</f>
        <v>#N/A</v>
      </c>
      <c r="F30" s="4" t="str">
        <f>IF(MATCH(B30,$B:$B,0)=ROW(B30),SUM(E30:E37),"")</f>
        <v/>
      </c>
    </row>
    <row r="31" spans="1:6" x14ac:dyDescent="0.25">
      <c r="A31"/>
      <c r="B31" s="4" t="s">
        <v>6</v>
      </c>
      <c r="C31" s="4">
        <v>9</v>
      </c>
      <c r="D31" s="5" t="s">
        <v>67</v>
      </c>
      <c r="E31" s="4" t="e">
        <f>SUMPRODUCT((INDEX(Rohdaten!$A$2:$GG$9999,,MATCH(B31,Rohdaten!$1:$1,))&amp;""=C31&amp;"")*(Rohdaten!$A$2:$A$9999&lt;&gt;""))</f>
        <v>#N/A</v>
      </c>
      <c r="F31" s="4" t="str">
        <f>IF(MATCH(B31,$B:$B,0)=ROW(B31),SUM(E31:E37),"")</f>
        <v/>
      </c>
    </row>
    <row r="32" spans="1:6" x14ac:dyDescent="0.25">
      <c r="A32" t="s">
        <v>102</v>
      </c>
      <c r="B32" s="4" t="s">
        <v>7</v>
      </c>
      <c r="C32" s="4"/>
      <c r="D32" s="4" t="s">
        <v>45</v>
      </c>
      <c r="E32" s="4" t="e">
        <f>SUMPRODUCT((INDEX(Rohdaten!$A$2:$GG$9999,,MATCH(B32,Rohdaten!$1:$1,))&amp;""=C32&amp;"")*(Rohdaten!$A$2:$A$9999&lt;&gt;""))</f>
        <v>#N/A</v>
      </c>
      <c r="F32" s="4" t="e">
        <f>IF(MATCH(B32,$B:$B,0)=ROW(B32),SUM(E32:E37),"")</f>
        <v>#N/A</v>
      </c>
    </row>
    <row r="33" spans="1:6" x14ac:dyDescent="0.25">
      <c r="A33"/>
      <c r="B33" s="4" t="s">
        <v>7</v>
      </c>
      <c r="C33" s="4">
        <v>0</v>
      </c>
      <c r="D33" s="4" t="s">
        <v>53</v>
      </c>
      <c r="E33" s="4" t="e">
        <f>SUMPRODUCT((INDEX(Rohdaten!$A$2:$GG$9999,,MATCH(B33,Rohdaten!$1:$1,))&amp;""=C33&amp;"")*(Rohdaten!$A$2:$A$9999&lt;&gt;""))</f>
        <v>#N/A</v>
      </c>
      <c r="F33" s="4" t="str">
        <f>IF(MATCH(B33,$B:$B,0)=ROW(B33),SUM(E33:E37),"")</f>
        <v/>
      </c>
    </row>
    <row r="34" spans="1:6" x14ac:dyDescent="0.25">
      <c r="A34"/>
      <c r="B34" s="4" t="s">
        <v>7</v>
      </c>
      <c r="C34" s="4">
        <v>1</v>
      </c>
      <c r="D34" s="4" t="s">
        <v>56</v>
      </c>
      <c r="E34" s="4" t="e">
        <f>SUMPRODUCT((INDEX(Rohdaten!$A$2:$GG$9999,,MATCH(B34,Rohdaten!$1:$1,))&amp;""=C34&amp;"")*(Rohdaten!$A$2:$A$9999&lt;&gt;""))</f>
        <v>#N/A</v>
      </c>
      <c r="F34" s="4" t="str">
        <f>IF(MATCH(B34,$B:$B,0)=ROW(B34),SUM(E34:E37),"")</f>
        <v/>
      </c>
    </row>
    <row r="35" spans="1:6" x14ac:dyDescent="0.25">
      <c r="A35"/>
      <c r="B35" s="4" t="s">
        <v>7</v>
      </c>
      <c r="C35" s="4">
        <v>2</v>
      </c>
      <c r="D35" s="4" t="s">
        <v>57</v>
      </c>
      <c r="E35" s="4" t="e">
        <f>SUMPRODUCT((INDEX(Rohdaten!$A$2:$GG$9999,,MATCH(B35,Rohdaten!$1:$1,))&amp;""=C35&amp;"")*(Rohdaten!$A$2:$A$9999&lt;&gt;""))</f>
        <v>#N/A</v>
      </c>
      <c r="F35" s="4" t="str">
        <f>IF(MATCH(B35,$B:$B,0)=ROW(B35),SUM(E35:E37),"")</f>
        <v/>
      </c>
    </row>
    <row r="36" spans="1:6" x14ac:dyDescent="0.25">
      <c r="A36"/>
      <c r="B36" s="4" t="s">
        <v>7</v>
      </c>
      <c r="C36" s="4">
        <v>3</v>
      </c>
      <c r="D36" s="4" t="s">
        <v>54</v>
      </c>
      <c r="E36" s="4" t="e">
        <f>SUMPRODUCT((INDEX(Rohdaten!$A$2:$GG$9999,,MATCH(B36,Rohdaten!$1:$1,))&amp;""=C36&amp;"")*(Rohdaten!$A$2:$A$9999&lt;&gt;""))</f>
        <v>#N/A</v>
      </c>
      <c r="F36" s="4" t="str">
        <f>IF(MATCH(B36,$B:$B,0)=ROW(B36),SUM(E36:E37),"")</f>
        <v/>
      </c>
    </row>
    <row r="37" spans="1:6" x14ac:dyDescent="0.25">
      <c r="A37"/>
      <c r="B37" s="4" t="s">
        <v>7</v>
      </c>
      <c r="C37" s="4">
        <v>4</v>
      </c>
      <c r="D37" s="4" t="s">
        <v>55</v>
      </c>
      <c r="E37" s="4" t="e">
        <f>SUMPRODUCT((INDEX(Rohdaten!$A$2:$GG$9999,,MATCH(B37,Rohdaten!$1:$1,))&amp;""=C37&amp;"")*(Rohdaten!$A$2:$A$9999&lt;&gt;""))</f>
        <v>#N/A</v>
      </c>
      <c r="F37" s="4" t="str">
        <f>IF(MATCH(B37,$B:$B,0)=ROW(B37),SUM(E37:E37),"")</f>
        <v/>
      </c>
    </row>
    <row r="38" spans="1:6" x14ac:dyDescent="0.25">
      <c r="A38" t="s">
        <v>68</v>
      </c>
      <c r="B38" s="7" t="s">
        <v>79</v>
      </c>
      <c r="C38" s="6"/>
      <c r="D38" s="8" t="s">
        <v>69</v>
      </c>
      <c r="E38" s="4" t="e">
        <f>SUMPRODUCT((INDEX(Rohdaten!$A$2:$GG$9999,,MATCH(B38,Rohdaten!$1:$1,))&amp;""=C38&amp;"")*(Rohdaten!$A$2:$A$9999&lt;&gt;""))</f>
        <v>#N/A</v>
      </c>
      <c r="F38" s="4" t="e">
        <f>IF(MATCH(B38,$B:$B,0)=ROW(B38),SUM(E38:E42),"")</f>
        <v>#N/A</v>
      </c>
    </row>
    <row r="39" spans="1:6" x14ac:dyDescent="0.25">
      <c r="A39"/>
      <c r="B39" s="4" t="s">
        <v>79</v>
      </c>
      <c r="C39" s="9">
        <v>0</v>
      </c>
      <c r="D39" s="5" t="s">
        <v>46</v>
      </c>
      <c r="E39" s="4" t="e">
        <f>SUMPRODUCT((INDEX(Rohdaten!$A$2:$GG$9999,,MATCH(B39,Rohdaten!$1:$1,))&amp;""=C39&amp;"")*(Rohdaten!$A$2:$A$9999&lt;&gt;""))</f>
        <v>#N/A</v>
      </c>
      <c r="F39" s="4" t="str">
        <f t="shared" ref="F39:F48" si="2">IF(MATCH(B39,$B:$B,0)=ROW(B39),SUM(E39:E41),"")</f>
        <v/>
      </c>
    </row>
    <row r="40" spans="1:6" x14ac:dyDescent="0.25">
      <c r="A40"/>
      <c r="B40" s="4" t="s">
        <v>79</v>
      </c>
      <c r="C40" s="9">
        <v>1</v>
      </c>
      <c r="D40" s="5" t="s">
        <v>70</v>
      </c>
      <c r="E40" s="4" t="e">
        <f>SUMPRODUCT((INDEX(Rohdaten!$A$2:$GG$9999,,MATCH(B40,Rohdaten!$1:$1,))&amp;""=C40&amp;"")*(Rohdaten!$A$2:$A$9999&lt;&gt;""))</f>
        <v>#N/A</v>
      </c>
      <c r="F40" s="4" t="str">
        <f t="shared" si="2"/>
        <v/>
      </c>
    </row>
    <row r="41" spans="1:6" x14ac:dyDescent="0.25">
      <c r="A41"/>
      <c r="B41" s="4" t="s">
        <v>79</v>
      </c>
      <c r="C41" s="9">
        <v>2</v>
      </c>
      <c r="D41" s="5" t="s">
        <v>71</v>
      </c>
      <c r="E41" s="4" t="e">
        <f>SUMPRODUCT((INDEX(Rohdaten!$A$2:$GG$9999,,MATCH(B41,Rohdaten!$1:$1,))&amp;""=C41&amp;"")*(Rohdaten!$A$2:$A$9999&lt;&gt;""))</f>
        <v>#N/A</v>
      </c>
      <c r="F41" s="4" t="str">
        <f t="shared" si="2"/>
        <v/>
      </c>
    </row>
    <row r="42" spans="1:6" x14ac:dyDescent="0.25">
      <c r="A42"/>
      <c r="B42" s="4" t="s">
        <v>79</v>
      </c>
      <c r="C42" s="9">
        <v>3</v>
      </c>
      <c r="D42" s="5" t="s">
        <v>72</v>
      </c>
      <c r="E42" s="4" t="e">
        <f>SUMPRODUCT((INDEX(Rohdaten!$A$2:$GG$9999,,MATCH(B42,Rohdaten!$1:$1,))&amp;""=C42&amp;"")*(Rohdaten!$A$2:$A$9999&lt;&gt;""))</f>
        <v>#N/A</v>
      </c>
      <c r="F42" s="4" t="str">
        <f t="shared" si="2"/>
        <v/>
      </c>
    </row>
    <row r="43" spans="1:6" x14ac:dyDescent="0.25">
      <c r="A43" t="s">
        <v>73</v>
      </c>
      <c r="B43" s="7" t="s">
        <v>80</v>
      </c>
      <c r="C43" s="6"/>
      <c r="D43" s="8" t="s">
        <v>69</v>
      </c>
      <c r="E43" s="4" t="e">
        <f>SUMPRODUCT((INDEX(Rohdaten!$A$2:$GG$9999,,MATCH(B43,Rohdaten!$1:$1,))&amp;""=C43&amp;"")*(Rohdaten!$A$2:$A$9999&lt;&gt;""))</f>
        <v>#N/A</v>
      </c>
      <c r="F43" s="4" t="e">
        <f t="shared" si="2"/>
        <v>#N/A</v>
      </c>
    </row>
    <row r="44" spans="1:6" x14ac:dyDescent="0.25">
      <c r="A44"/>
      <c r="B44" s="4" t="s">
        <v>80</v>
      </c>
      <c r="C44" s="9">
        <v>0</v>
      </c>
      <c r="D44" s="5" t="s">
        <v>46</v>
      </c>
      <c r="E44" s="4" t="e">
        <f>SUMPRODUCT((INDEX(Rohdaten!$A$2:$GG$9999,,MATCH(B44,Rohdaten!$1:$1,))&amp;""=C44&amp;"")*(Rohdaten!$A$2:$A$9999&lt;&gt;""))</f>
        <v>#N/A</v>
      </c>
      <c r="F44" s="4" t="str">
        <f t="shared" si="2"/>
        <v/>
      </c>
    </row>
    <row r="45" spans="1:6" x14ac:dyDescent="0.25">
      <c r="A45"/>
      <c r="B45" s="4" t="s">
        <v>80</v>
      </c>
      <c r="C45" s="9">
        <v>1</v>
      </c>
      <c r="D45" s="5" t="s">
        <v>47</v>
      </c>
      <c r="E45" s="4" t="e">
        <f>SUMPRODUCT((INDEX(Rohdaten!$A$2:$GG$9999,,MATCH(B45,Rohdaten!$1:$1,))&amp;""=C45&amp;"")*(Rohdaten!$A$2:$A$9999&lt;&gt;""))</f>
        <v>#N/A</v>
      </c>
      <c r="F45" s="4" t="str">
        <f t="shared" si="2"/>
        <v/>
      </c>
    </row>
    <row r="46" spans="1:6" x14ac:dyDescent="0.25">
      <c r="A46" t="s">
        <v>74</v>
      </c>
      <c r="B46" s="7" t="s">
        <v>10</v>
      </c>
      <c r="C46" s="6"/>
      <c r="D46" s="8" t="s">
        <v>69</v>
      </c>
      <c r="E46" s="4" t="e">
        <f>SUMPRODUCT((INDEX(Rohdaten!$A$2:$GG$9999,,MATCH(B46,Rohdaten!$1:$1,))&amp;""=C46&amp;"")*(Rohdaten!$A$2:$A$9999&lt;&gt;""))</f>
        <v>#N/A</v>
      </c>
      <c r="F46" s="4" t="e">
        <f t="shared" si="2"/>
        <v>#N/A</v>
      </c>
    </row>
    <row r="47" spans="1:6" x14ac:dyDescent="0.25">
      <c r="A47"/>
      <c r="B47" s="4" t="s">
        <v>10</v>
      </c>
      <c r="C47" s="9">
        <v>0</v>
      </c>
      <c r="D47" s="5" t="s">
        <v>46</v>
      </c>
      <c r="E47" s="4" t="e">
        <f>SUMPRODUCT((INDEX(Rohdaten!$A$2:$GG$9999,,MATCH(B47,Rohdaten!$1:$1,))&amp;""=C47&amp;"")*(Rohdaten!$A$2:$A$9999&lt;&gt;""))</f>
        <v>#N/A</v>
      </c>
      <c r="F47" s="4" t="str">
        <f t="shared" si="2"/>
        <v/>
      </c>
    </row>
    <row r="48" spans="1:6" x14ac:dyDescent="0.25">
      <c r="A48"/>
      <c r="B48" s="4" t="s">
        <v>10</v>
      </c>
      <c r="C48" s="9">
        <v>1</v>
      </c>
      <c r="D48" s="5" t="s">
        <v>47</v>
      </c>
      <c r="E48" s="4" t="e">
        <f>SUMPRODUCT((INDEX(Rohdaten!$A$2:$GG$9999,,MATCH(B48,Rohdaten!$1:$1,))&amp;""=C48&amp;"")*(Rohdaten!$A$2:$A$9999&lt;&gt;""))</f>
        <v>#N/A</v>
      </c>
      <c r="F48" s="4" t="str">
        <f t="shared" si="2"/>
        <v/>
      </c>
    </row>
    <row r="49" spans="1:6" x14ac:dyDescent="0.25">
      <c r="A49" t="s">
        <v>75</v>
      </c>
      <c r="B49" s="7" t="s">
        <v>8</v>
      </c>
      <c r="C49" s="6"/>
      <c r="D49" s="8" t="s">
        <v>69</v>
      </c>
      <c r="E49" s="4" t="e">
        <f>SUMPRODUCT((INDEX(Rohdaten!$A$2:$GG$9999,,MATCH(B49,Rohdaten!$1:$1,))&amp;""=C49&amp;"")*(Rohdaten!$A$2:$A$9999&lt;&gt;""))</f>
        <v>#N/A</v>
      </c>
      <c r="F49" s="4" t="e">
        <f>IF(MATCH(B49,$B:$B,0)=ROW(B49),SUM(E49:E52),"")</f>
        <v>#N/A</v>
      </c>
    </row>
    <row r="50" spans="1:6" x14ac:dyDescent="0.25">
      <c r="A50"/>
      <c r="B50" s="4" t="s">
        <v>8</v>
      </c>
      <c r="C50" s="9">
        <v>0</v>
      </c>
      <c r="D50" s="5" t="s">
        <v>46</v>
      </c>
      <c r="E50" s="4" t="e">
        <f>SUMPRODUCT((INDEX(Rohdaten!$A$2:$GG$9999,,MATCH(B50,Rohdaten!$1:$1,))&amp;""=C50&amp;"")*(Rohdaten!$A$2:$A$9999&lt;&gt;""))</f>
        <v>#N/A</v>
      </c>
      <c r="F50" s="4" t="str">
        <f t="shared" ref="F50:F67" si="3">IF(MATCH(B50,$B:$B,0)=ROW(B50),SUM(E50:E52),"")</f>
        <v/>
      </c>
    </row>
    <row r="51" spans="1:6" x14ac:dyDescent="0.25">
      <c r="A51"/>
      <c r="B51" s="4" t="s">
        <v>8</v>
      </c>
      <c r="C51" s="9">
        <v>1</v>
      </c>
      <c r="D51" s="5" t="s">
        <v>122</v>
      </c>
      <c r="E51" s="4" t="e">
        <f>SUMPRODUCT((INDEX(Rohdaten!$A$2:$GG$9999,,MATCH(B51,Rohdaten!$1:$1,))&amp;""=C51&amp;"")*(Rohdaten!$A$2:$A$9999&lt;&gt;""))</f>
        <v>#N/A</v>
      </c>
      <c r="F51" s="4" t="str">
        <f t="shared" si="3"/>
        <v/>
      </c>
    </row>
    <row r="52" spans="1:6" x14ac:dyDescent="0.25">
      <c r="A52"/>
      <c r="B52" s="4" t="s">
        <v>8</v>
      </c>
      <c r="C52" s="9">
        <v>2</v>
      </c>
      <c r="D52" s="5" t="s">
        <v>123</v>
      </c>
      <c r="E52" s="4" t="e">
        <f>SUMPRODUCT((INDEX(Rohdaten!$A$2:$GG$9999,,MATCH(B52,Rohdaten!$1:$1,))&amp;""=C52&amp;"")*(Rohdaten!$A$2:$A$9999&lt;&gt;""))</f>
        <v>#N/A</v>
      </c>
      <c r="F52" s="4" t="str">
        <f t="shared" si="3"/>
        <v/>
      </c>
    </row>
    <row r="53" spans="1:6" x14ac:dyDescent="0.25">
      <c r="A53" t="s">
        <v>76</v>
      </c>
      <c r="B53" s="7" t="s">
        <v>12</v>
      </c>
      <c r="C53" s="6"/>
      <c r="D53" s="8" t="s">
        <v>69</v>
      </c>
      <c r="E53" s="4" t="e">
        <f>SUMPRODUCT((INDEX(Rohdaten!$A$2:$GG$9999,,MATCH(B53,Rohdaten!$1:$1,))&amp;""=C53&amp;"")*(Rohdaten!$A$2:$A$9999&lt;&gt;""))</f>
        <v>#N/A</v>
      </c>
      <c r="F53" s="4" t="e">
        <f t="shared" si="3"/>
        <v>#N/A</v>
      </c>
    </row>
    <row r="54" spans="1:6" x14ac:dyDescent="0.25">
      <c r="A54"/>
      <c r="B54" s="4" t="s">
        <v>12</v>
      </c>
      <c r="C54" s="9">
        <v>0</v>
      </c>
      <c r="D54" s="5" t="s">
        <v>46</v>
      </c>
      <c r="E54" s="4" t="e">
        <f>SUMPRODUCT((INDEX(Rohdaten!$A$2:$GG$9999,,MATCH(B54,Rohdaten!$1:$1,))&amp;""=C54&amp;"")*(Rohdaten!$A$2:$A$9999&lt;&gt;""))</f>
        <v>#N/A</v>
      </c>
      <c r="F54" s="4" t="str">
        <f t="shared" si="3"/>
        <v/>
      </c>
    </row>
    <row r="55" spans="1:6" x14ac:dyDescent="0.25">
      <c r="A55"/>
      <c r="B55" s="4" t="s">
        <v>12</v>
      </c>
      <c r="C55" s="9">
        <v>1</v>
      </c>
      <c r="D55" s="5" t="s">
        <v>47</v>
      </c>
      <c r="E55" s="4" t="e">
        <f>SUMPRODUCT((INDEX(Rohdaten!$A$2:$GG$9999,,MATCH(B55,Rohdaten!$1:$1,))&amp;""=C55&amp;"")*(Rohdaten!$A$2:$A$9999&lt;&gt;""))</f>
        <v>#N/A</v>
      </c>
      <c r="F55" s="4" t="str">
        <f t="shared" si="3"/>
        <v/>
      </c>
    </row>
    <row r="56" spans="1:6" x14ac:dyDescent="0.25">
      <c r="A56" t="s">
        <v>408</v>
      </c>
      <c r="B56" s="7" t="s">
        <v>11</v>
      </c>
      <c r="C56" s="6"/>
      <c r="D56" s="8" t="s">
        <v>69</v>
      </c>
      <c r="E56" s="4" t="e">
        <f>SUMPRODUCT((INDEX(Rohdaten!$A$2:$GG$9999,,MATCH(B56,Rohdaten!$1:$1,))&amp;""=C56&amp;"")*(Rohdaten!$A$2:$A$9999&lt;&gt;""))</f>
        <v>#N/A</v>
      </c>
      <c r="F56" s="4" t="e">
        <f t="shared" si="3"/>
        <v>#N/A</v>
      </c>
    </row>
    <row r="57" spans="1:6" x14ac:dyDescent="0.25">
      <c r="A57"/>
      <c r="B57" s="4" t="s">
        <v>11</v>
      </c>
      <c r="C57" s="9">
        <v>0</v>
      </c>
      <c r="D57" s="5" t="s">
        <v>46</v>
      </c>
      <c r="E57" s="4" t="e">
        <f>SUMPRODUCT((INDEX(Rohdaten!$A$2:$GG$9999,,MATCH(B57,Rohdaten!$1:$1,))&amp;""=C57&amp;"")*(Rohdaten!$A$2:$A$9999&lt;&gt;""))</f>
        <v>#N/A</v>
      </c>
      <c r="F57" s="4" t="str">
        <f t="shared" si="3"/>
        <v/>
      </c>
    </row>
    <row r="58" spans="1:6" x14ac:dyDescent="0.25">
      <c r="A58"/>
      <c r="B58" s="4" t="s">
        <v>11</v>
      </c>
      <c r="C58" s="9">
        <v>1</v>
      </c>
      <c r="D58" s="5" t="s">
        <v>47</v>
      </c>
      <c r="E58" s="4" t="e">
        <f>SUMPRODUCT((INDEX(Rohdaten!$A$2:$GG$9999,,MATCH(B58,Rohdaten!$1:$1,))&amp;""=C58&amp;"")*(Rohdaten!$A$2:$A$9999&lt;&gt;""))</f>
        <v>#N/A</v>
      </c>
      <c r="F58" s="4" t="str">
        <f t="shared" si="3"/>
        <v/>
      </c>
    </row>
    <row r="59" spans="1:6" x14ac:dyDescent="0.25">
      <c r="A59" t="s">
        <v>409</v>
      </c>
      <c r="B59" s="7" t="s">
        <v>81</v>
      </c>
      <c r="C59" s="6"/>
      <c r="D59" s="8" t="s">
        <v>69</v>
      </c>
      <c r="E59" s="4" t="e">
        <f>SUMPRODUCT((INDEX(Rohdaten!$A$2:$GG$9999,,MATCH(B59,Rohdaten!$1:$1,))&amp;""=C59&amp;"")*(Rohdaten!$A$2:$A$9999&lt;&gt;""))</f>
        <v>#N/A</v>
      </c>
      <c r="F59" s="4" t="e">
        <f t="shared" si="3"/>
        <v>#N/A</v>
      </c>
    </row>
    <row r="60" spans="1:6" x14ac:dyDescent="0.25">
      <c r="A60"/>
      <c r="B60" s="4" t="s">
        <v>81</v>
      </c>
      <c r="C60" s="9">
        <v>0</v>
      </c>
      <c r="D60" s="5" t="s">
        <v>46</v>
      </c>
      <c r="E60" s="4" t="e">
        <f>SUMPRODUCT((INDEX(Rohdaten!$A$2:$GG$9999,,MATCH(B60,Rohdaten!$1:$1,))&amp;""=C60&amp;"")*(Rohdaten!$A$2:$A$9999&lt;&gt;""))</f>
        <v>#N/A</v>
      </c>
      <c r="F60" s="4" t="str">
        <f t="shared" si="3"/>
        <v/>
      </c>
    </row>
    <row r="61" spans="1:6" x14ac:dyDescent="0.25">
      <c r="A61"/>
      <c r="B61" s="4" t="s">
        <v>81</v>
      </c>
      <c r="C61" s="9">
        <v>1</v>
      </c>
      <c r="D61" s="5" t="s">
        <v>47</v>
      </c>
      <c r="E61" s="4" t="e">
        <f>SUMPRODUCT((INDEX(Rohdaten!$A$2:$GG$9999,,MATCH(B61,Rohdaten!$1:$1,))&amp;""=C61&amp;"")*(Rohdaten!$A$2:$A$9999&lt;&gt;""))</f>
        <v>#N/A</v>
      </c>
      <c r="F61" s="4" t="str">
        <f t="shared" si="3"/>
        <v/>
      </c>
    </row>
    <row r="62" spans="1:6" x14ac:dyDescent="0.25">
      <c r="A62" t="s">
        <v>77</v>
      </c>
      <c r="B62" s="7" t="s">
        <v>82</v>
      </c>
      <c r="C62" s="6"/>
      <c r="D62" s="8" t="s">
        <v>69</v>
      </c>
      <c r="E62" s="4" t="e">
        <f>SUMPRODUCT((INDEX(Rohdaten!$A$2:$GG$9999,,MATCH(B62,Rohdaten!$1:$1,))&amp;""=C62&amp;"")*(Rohdaten!$A$2:$A$9999&lt;&gt;""))</f>
        <v>#N/A</v>
      </c>
      <c r="F62" s="4" t="e">
        <f t="shared" si="3"/>
        <v>#N/A</v>
      </c>
    </row>
    <row r="63" spans="1:6" x14ac:dyDescent="0.25">
      <c r="A63"/>
      <c r="B63" s="4" t="s">
        <v>82</v>
      </c>
      <c r="C63" s="9">
        <v>0</v>
      </c>
      <c r="D63" s="5" t="s">
        <v>46</v>
      </c>
      <c r="E63" s="4" t="e">
        <f>SUMPRODUCT((INDEX(Rohdaten!$A$2:$GG$9999,,MATCH(B63,Rohdaten!$1:$1,))&amp;""=C63&amp;"")*(Rohdaten!$A$2:$A$9999&lt;&gt;""))</f>
        <v>#N/A</v>
      </c>
      <c r="F63" s="4" t="str">
        <f t="shared" si="3"/>
        <v/>
      </c>
    </row>
    <row r="64" spans="1:6" x14ac:dyDescent="0.25">
      <c r="A64"/>
      <c r="B64" s="4" t="s">
        <v>82</v>
      </c>
      <c r="C64" s="9">
        <v>1</v>
      </c>
      <c r="D64" s="5" t="s">
        <v>47</v>
      </c>
      <c r="E64" s="4" t="e">
        <f>SUMPRODUCT((INDEX(Rohdaten!$A$2:$GG$9999,,MATCH(B64,Rohdaten!$1:$1,))&amp;""=C64&amp;"")*(Rohdaten!$A$2:$A$9999&lt;&gt;""))</f>
        <v>#N/A</v>
      </c>
      <c r="F64" s="4" t="str">
        <f t="shared" si="3"/>
        <v/>
      </c>
    </row>
    <row r="65" spans="1:6" x14ac:dyDescent="0.25">
      <c r="A65" t="s">
        <v>133</v>
      </c>
      <c r="B65" s="7" t="s">
        <v>83</v>
      </c>
      <c r="C65" s="6"/>
      <c r="D65" s="8" t="s">
        <v>69</v>
      </c>
      <c r="E65" s="4" t="e">
        <f>SUMPRODUCT((INDEX(Rohdaten!$A$2:$GG$9999,,MATCH(B65,Rohdaten!$1:$1,))&amp;""=C65&amp;"")*(Rohdaten!$A$2:$A$9999&lt;&gt;""))</f>
        <v>#N/A</v>
      </c>
      <c r="F65" s="4" t="e">
        <f t="shared" si="3"/>
        <v>#N/A</v>
      </c>
    </row>
    <row r="66" spans="1:6" x14ac:dyDescent="0.25">
      <c r="A66"/>
      <c r="B66" s="4" t="s">
        <v>83</v>
      </c>
      <c r="C66" s="9">
        <v>0</v>
      </c>
      <c r="D66" s="5" t="s">
        <v>46</v>
      </c>
      <c r="E66" s="4" t="e">
        <f>SUMPRODUCT((INDEX(Rohdaten!$A$2:$GG$9999,,MATCH(B66,Rohdaten!$1:$1,))&amp;""=C66&amp;"")*(Rohdaten!$A$2:$A$9999&lt;&gt;""))</f>
        <v>#N/A</v>
      </c>
      <c r="F66" s="4" t="str">
        <f t="shared" si="3"/>
        <v/>
      </c>
    </row>
    <row r="67" spans="1:6" x14ac:dyDescent="0.25">
      <c r="A67"/>
      <c r="B67" s="4" t="s">
        <v>83</v>
      </c>
      <c r="C67" s="9">
        <v>1</v>
      </c>
      <c r="D67" s="5" t="s">
        <v>47</v>
      </c>
      <c r="E67" s="4" t="e">
        <f>SUMPRODUCT((INDEX(Rohdaten!$A$2:$GG$9999,,MATCH(B67,Rohdaten!$1:$1,))&amp;""=C67&amp;"")*(Rohdaten!$A$2:$A$9999&lt;&gt;""))</f>
        <v>#N/A</v>
      </c>
      <c r="F67" s="4" t="str">
        <f t="shared" si="3"/>
        <v/>
      </c>
    </row>
    <row r="68" spans="1:6" x14ac:dyDescent="0.25">
      <c r="A68" t="s">
        <v>424</v>
      </c>
      <c r="B68" s="7" t="s">
        <v>84</v>
      </c>
      <c r="C68" s="6"/>
      <c r="D68" s="8" t="s">
        <v>69</v>
      </c>
      <c r="E68" s="4" t="e">
        <f>SUMPRODUCT((INDEX(Rohdaten!$A$2:$GG$9999,,MATCH(B68,Rohdaten!$1:$1,))&amp;""=C68&amp;"")*(Rohdaten!$A$2:$A$9999&lt;&gt;""))</f>
        <v>#N/A</v>
      </c>
      <c r="F68" s="4" t="e">
        <f>IF(MATCH(B68,$B:$B,0)=ROW(B68),SUM(E68:E71),"")</f>
        <v>#N/A</v>
      </c>
    </row>
    <row r="69" spans="1:6" x14ac:dyDescent="0.25">
      <c r="A69"/>
      <c r="B69" s="4" t="s">
        <v>84</v>
      </c>
      <c r="C69" s="9">
        <v>0</v>
      </c>
      <c r="D69" s="5" t="s">
        <v>46</v>
      </c>
      <c r="E69" s="4" t="e">
        <f>SUMPRODUCT((INDEX(Rohdaten!$A$2:$GG$9999,,MATCH(B69,Rohdaten!$1:$1,))&amp;""=C69&amp;"")*(Rohdaten!$A$2:$A$9999&lt;&gt;""))</f>
        <v>#N/A</v>
      </c>
      <c r="F69" s="4" t="str">
        <f t="shared" ref="F69:F75" si="4">IF(MATCH(B69,$B:$B,0)=ROW(B69),SUM(E69:E71),"")</f>
        <v/>
      </c>
    </row>
    <row r="70" spans="1:6" x14ac:dyDescent="0.25">
      <c r="A70"/>
      <c r="B70" s="4" t="s">
        <v>84</v>
      </c>
      <c r="C70" s="9">
        <v>1</v>
      </c>
      <c r="D70" s="5" t="s">
        <v>47</v>
      </c>
      <c r="E70" s="4" t="e">
        <f>SUMPRODUCT((INDEX(Rohdaten!$A$2:$GG$9999,,MATCH(B70,Rohdaten!$1:$1,))&amp;""=C70&amp;"")*(Rohdaten!$A$2:$A$9999&lt;&gt;""))</f>
        <v>#N/A</v>
      </c>
      <c r="F70" s="4" t="str">
        <f t="shared" si="4"/>
        <v/>
      </c>
    </row>
    <row r="71" spans="1:6" x14ac:dyDescent="0.25">
      <c r="A71"/>
      <c r="B71" s="4" t="s">
        <v>84</v>
      </c>
      <c r="C71" s="9">
        <v>2</v>
      </c>
      <c r="D71" s="5" t="s">
        <v>78</v>
      </c>
      <c r="E71" s="4" t="e">
        <f>SUMPRODUCT((INDEX(Rohdaten!$A$2:$GG$9999,,MATCH(B71,Rohdaten!$1:$1,))&amp;""=C71&amp;"")*(Rohdaten!$A$2:$A$9999&lt;&gt;""))</f>
        <v>#N/A</v>
      </c>
      <c r="F71" s="4" t="str">
        <f t="shared" si="4"/>
        <v/>
      </c>
    </row>
    <row r="72" spans="1:6" x14ac:dyDescent="0.25">
      <c r="A72" t="s">
        <v>134</v>
      </c>
      <c r="B72" s="7" t="s">
        <v>85</v>
      </c>
      <c r="C72" s="6"/>
      <c r="D72" s="8" t="s">
        <v>69</v>
      </c>
      <c r="E72" s="4" t="e">
        <f>SUMPRODUCT((INDEX(Rohdaten!$A$2:$GG$9999,,MATCH(B72,Rohdaten!$1:$1,))&amp;""=C72&amp;"")*(Rohdaten!$A$2:$A$9999&lt;&gt;""))</f>
        <v>#N/A</v>
      </c>
      <c r="F72" s="4" t="e">
        <f t="shared" si="4"/>
        <v>#N/A</v>
      </c>
    </row>
    <row r="73" spans="1:6" x14ac:dyDescent="0.25">
      <c r="A73"/>
      <c r="B73" s="4" t="s">
        <v>85</v>
      </c>
      <c r="C73" s="9">
        <v>0</v>
      </c>
      <c r="D73" s="5" t="s">
        <v>46</v>
      </c>
      <c r="E73" s="4" t="e">
        <f>SUMPRODUCT((INDEX(Rohdaten!$A$2:$GG$9999,,MATCH(B73,Rohdaten!$1:$1,))&amp;""=C73&amp;"")*(Rohdaten!$A$2:$A$9999&lt;&gt;""))</f>
        <v>#N/A</v>
      </c>
      <c r="F73" s="4" t="str">
        <f t="shared" si="4"/>
        <v/>
      </c>
    </row>
    <row r="74" spans="1:6" x14ac:dyDescent="0.25">
      <c r="A74"/>
      <c r="B74" s="4" t="s">
        <v>85</v>
      </c>
      <c r="C74" s="9">
        <v>1</v>
      </c>
      <c r="D74" s="5" t="s">
        <v>47</v>
      </c>
      <c r="E74" s="4" t="e">
        <f>SUMPRODUCT((INDEX(Rohdaten!$A$2:$GG$9999,,MATCH(B74,Rohdaten!$1:$1,))&amp;""=C74&amp;"")*(Rohdaten!$A$2:$A$9999&lt;&gt;""))</f>
        <v>#N/A</v>
      </c>
      <c r="F74" s="4" t="str">
        <f t="shared" si="4"/>
        <v/>
      </c>
    </row>
    <row r="75" spans="1:6" x14ac:dyDescent="0.25">
      <c r="A75" t="s">
        <v>135</v>
      </c>
      <c r="B75" s="7" t="s">
        <v>9</v>
      </c>
      <c r="C75" s="6"/>
      <c r="D75" s="8" t="s">
        <v>69</v>
      </c>
      <c r="E75" s="4" t="e">
        <f>SUMPRODUCT((INDEX(Rohdaten!$A$2:$GG$9999,,MATCH(B75,Rohdaten!$1:$1,))&amp;""=C75&amp;"")*(Rohdaten!$A$2:$A$9999&lt;&gt;""))</f>
        <v>#N/A</v>
      </c>
      <c r="F75" s="4" t="e">
        <f t="shared" si="4"/>
        <v>#N/A</v>
      </c>
    </row>
    <row r="76" spans="1:6" x14ac:dyDescent="0.25">
      <c r="A76"/>
      <c r="B76" s="4" t="s">
        <v>9</v>
      </c>
      <c r="C76" s="9">
        <v>0</v>
      </c>
      <c r="D76" s="5" t="s">
        <v>46</v>
      </c>
      <c r="E76" s="4" t="e">
        <f>SUMPRODUCT((INDEX(Rohdaten!$A$2:$GG$9999,,MATCH(B76,Rohdaten!$1:$1,))&amp;""=C76&amp;"")*(Rohdaten!$A$2:$A$9999&lt;&gt;""))</f>
        <v>#N/A</v>
      </c>
      <c r="F76" s="4" t="str">
        <f>IF(MATCH(B76,$B:$B,0)=ROW(B76),SUM(E76:E84),"")</f>
        <v/>
      </c>
    </row>
    <row r="77" spans="1:6" x14ac:dyDescent="0.25">
      <c r="A77"/>
      <c r="B77" s="4" t="s">
        <v>9</v>
      </c>
      <c r="C77" s="9">
        <v>1</v>
      </c>
      <c r="D77" s="5" t="s">
        <v>47</v>
      </c>
      <c r="E77" s="4" t="e">
        <f>SUMPRODUCT((INDEX(Rohdaten!$A$2:$GG$9999,,MATCH(B77,Rohdaten!$1:$1,))&amp;""=C77&amp;"")*(Rohdaten!$A$2:$A$9999&lt;&gt;""))</f>
        <v>#N/A</v>
      </c>
      <c r="F77" s="4" t="str">
        <f>IF(MATCH(B77,$B:$B,0)=ROW(B77),SUM(E77:E85),"")</f>
        <v/>
      </c>
    </row>
    <row r="78" spans="1:6" x14ac:dyDescent="0.25">
      <c r="A78" t="s">
        <v>103</v>
      </c>
      <c r="B78" t="s">
        <v>17</v>
      </c>
      <c r="C78" s="3">
        <v>20</v>
      </c>
      <c r="D78" s="2" t="s">
        <v>92</v>
      </c>
      <c r="E78" s="4" t="e">
        <f>SUMPRODUCT((INDEX(Rohdaten!$A$2:$GG$9999,,MATCH(B78,Rohdaten!$1:$1,))&amp;""&lt;C78&amp;"")*(Rohdaten!$A$2:$A$9999&lt;&gt;""))</f>
        <v>#N/A</v>
      </c>
      <c r="F78" s="4" t="e">
        <f>IF(MATCH(B78,$B:$B,0)=ROW(B78),SUM(E78:E81),"")</f>
        <v>#N/A</v>
      </c>
    </row>
    <row r="79" spans="1:6" x14ac:dyDescent="0.25">
      <c r="A79"/>
      <c r="B79" t="s">
        <v>17</v>
      </c>
      <c r="C79" s="3">
        <v>30</v>
      </c>
      <c r="D79" s="2" t="s">
        <v>93</v>
      </c>
      <c r="E79" s="4" t="e">
        <f>SUMPRODUCT((INDEX(Rohdaten!$A$2:$GG$9999,,MATCH(B79,Rohdaten!$1:$1,))&amp;""&lt;C79&amp;"")*(Rohdaten!$A$2:$A$9999&lt;&gt;""))-E78</f>
        <v>#N/A</v>
      </c>
      <c r="F79" s="4"/>
    </row>
    <row r="80" spans="1:6" x14ac:dyDescent="0.25">
      <c r="A80"/>
      <c r="B80" t="s">
        <v>17</v>
      </c>
      <c r="C80" s="3">
        <v>40</v>
      </c>
      <c r="D80" s="2" t="s">
        <v>94</v>
      </c>
      <c r="E80" s="4" t="e">
        <f>SUMPRODUCT((INDEX(Rohdaten!$A$2:$GG$9999,,MATCH(B80,Rohdaten!$1:$1,))&amp;""&lt;C80&amp;"")*(Rohdaten!$A$2:$A$9999&lt;&gt;""))-E79-E78</f>
        <v>#N/A</v>
      </c>
      <c r="F80" s="4"/>
    </row>
    <row r="81" spans="1:6" x14ac:dyDescent="0.25">
      <c r="A81"/>
      <c r="B81" t="s">
        <v>17</v>
      </c>
      <c r="C81" s="3">
        <v>40</v>
      </c>
      <c r="D81" s="2" t="s">
        <v>95</v>
      </c>
      <c r="E81" s="4" t="e">
        <f>SUMPRODUCT((INDEX(Rohdaten!$A$2:$GG$9999,,MATCH(B81,Rohdaten!$1:$1,))&amp;""&gt;=C81&amp;"")*(Rohdaten!$A$2:$A$9999&lt;&gt;""))</f>
        <v>#N/A</v>
      </c>
      <c r="F81" s="4"/>
    </row>
    <row r="82" spans="1:6" x14ac:dyDescent="0.25">
      <c r="A82"/>
      <c r="C82" s="3"/>
      <c r="D82" s="2"/>
      <c r="E82" s="4"/>
      <c r="F82" s="4"/>
    </row>
    <row r="83" spans="1:6" x14ac:dyDescent="0.25">
      <c r="A83" s="13" t="s">
        <v>90</v>
      </c>
      <c r="B83" s="13" t="s">
        <v>109</v>
      </c>
      <c r="C83" s="14"/>
      <c r="D83" s="15"/>
      <c r="E83" s="13"/>
      <c r="F83" s="13"/>
    </row>
    <row r="84" spans="1:6" x14ac:dyDescent="0.25">
      <c r="A84" t="s">
        <v>86</v>
      </c>
      <c r="B84" s="4" t="s">
        <v>16</v>
      </c>
      <c r="C84" s="6"/>
      <c r="D84" s="8" t="s">
        <v>69</v>
      </c>
      <c r="E84" s="4" t="e">
        <f>SUMPRODUCT((INDEX(Rohdaten!$A$2:$GG$9999,,MATCH(B84,Rohdaten!$1:$1,))&amp;""=C84&amp;"")*(INDEX(Rohdaten!$A$2:$GG$9999,,MATCH("end_date",Rohdaten!$1:$1,))&lt;&gt;""))</f>
        <v>#N/A</v>
      </c>
      <c r="F84" s="4" t="e">
        <f>IF(MATCH(B84,$B:$B,0)=ROW(B84),SUM(E84:E86),"")</f>
        <v>#N/A</v>
      </c>
    </row>
    <row r="85" spans="1:6" x14ac:dyDescent="0.25">
      <c r="A85"/>
      <c r="B85" s="4" t="s">
        <v>16</v>
      </c>
      <c r="C85" s="9">
        <v>0</v>
      </c>
      <c r="D85" s="5" t="s">
        <v>46</v>
      </c>
      <c r="E85" s="4" t="e">
        <f>SUMPRODUCT((INDEX(Rohdaten!$A$2:$GG$9999,,MATCH(B85,Rohdaten!$1:$1,))&amp;""=C85&amp;"")*(INDEX(Rohdaten!$A$2:$GG$9999,,MATCH("end_date",Rohdaten!$1:$1,))&lt;&gt;""))</f>
        <v>#N/A</v>
      </c>
      <c r="F85" s="4" t="str">
        <f>IF(MATCH(B85,$B:$B,0)=ROW(B85),SUM(E85:E87),"")</f>
        <v/>
      </c>
    </row>
    <row r="86" spans="1:6" x14ac:dyDescent="0.25">
      <c r="A86"/>
      <c r="B86" s="4" t="s">
        <v>16</v>
      </c>
      <c r="C86" s="9">
        <v>1</v>
      </c>
      <c r="D86" s="5" t="s">
        <v>47</v>
      </c>
      <c r="E86" s="4" t="e">
        <f>SUMPRODUCT((INDEX(Rohdaten!$A$2:$GG$9999,,MATCH(B86,Rohdaten!$1:$1,))&amp;""=C86&amp;"")*(INDEX(Rohdaten!$A$2:$GG$9999,,MATCH("end_date",Rohdaten!$1:$1,))&lt;&gt;""))</f>
        <v>#N/A</v>
      </c>
      <c r="F86" s="4" t="str">
        <f>IF(MATCH(B86,$B:$B,0)=ROW(B86),SUM(E86:E88),"")</f>
        <v/>
      </c>
    </row>
    <row r="87" spans="1:6" x14ac:dyDescent="0.25">
      <c r="A87" t="s">
        <v>87</v>
      </c>
      <c r="B87" s="7" t="s">
        <v>13</v>
      </c>
      <c r="C87" s="6"/>
      <c r="D87" s="8" t="s">
        <v>69</v>
      </c>
      <c r="E87" s="4" t="e">
        <f>SUMPRODUCT((INDEX(Rohdaten!$A$2:$GG$9999,,MATCH(B87,Rohdaten!$1:$1,))&amp;""=C87&amp;"")*(INDEX(Rohdaten!$A$2:$GG$9999,,MATCH("end_date",Rohdaten!$1:$1,))&lt;&gt;""))</f>
        <v>#N/A</v>
      </c>
      <c r="F87" s="4" t="e">
        <f>IF(MATCH(B87,$B:$B,0)=ROW(B87),SUM(E87:E89),"")</f>
        <v>#N/A</v>
      </c>
    </row>
    <row r="88" spans="1:6" x14ac:dyDescent="0.25">
      <c r="A88"/>
      <c r="B88" s="4" t="s">
        <v>13</v>
      </c>
      <c r="C88" s="9">
        <v>0</v>
      </c>
      <c r="D88" s="5" t="s">
        <v>46</v>
      </c>
      <c r="E88" s="4" t="e">
        <f>SUMPRODUCT((INDEX(Rohdaten!$A$2:$GG$9999,,MATCH(B88,Rohdaten!$1:$1,))&amp;""=C88&amp;"")*(INDEX(Rohdaten!$A$2:$GG$9999,,MATCH("end_date",Rohdaten!$1:$1,))&lt;&gt;""))</f>
        <v>#N/A</v>
      </c>
      <c r="F88" s="4" t="str">
        <f>IF(MATCH(B88,$B:$B,0)=ROW(B88),SUM(E88:E89),"")</f>
        <v/>
      </c>
    </row>
    <row r="89" spans="1:6" x14ac:dyDescent="0.25">
      <c r="A89"/>
      <c r="B89" s="4" t="s">
        <v>13</v>
      </c>
      <c r="C89" s="9">
        <v>1</v>
      </c>
      <c r="D89" s="5" t="s">
        <v>47</v>
      </c>
      <c r="E89" s="4" t="e">
        <f>SUMPRODUCT((INDEX(Rohdaten!$A$2:$GG$9999,,MATCH(B89,Rohdaten!$1:$1,))&amp;""=C89&amp;"")*(INDEX(Rohdaten!$A$2:$GG$9999,,MATCH("end_date",Rohdaten!$1:$1,))&lt;&gt;""))</f>
        <v>#N/A</v>
      </c>
      <c r="F89" s="4" t="str">
        <f>IF(MATCH(B89,$B:$B,0)=ROW(B89),SUM(E89:E89),"")</f>
        <v/>
      </c>
    </row>
    <row r="90" spans="1:6" x14ac:dyDescent="0.25">
      <c r="A90" t="s">
        <v>88</v>
      </c>
      <c r="B90" s="7" t="s">
        <v>15</v>
      </c>
      <c r="C90" s="6"/>
      <c r="D90" s="8" t="s">
        <v>69</v>
      </c>
      <c r="E90" s="4" t="e">
        <f>SUMPRODUCT((INDEX(Rohdaten!$A$2:$GG$9999,,MATCH(B90,Rohdaten!$1:$1,))&amp;""=C90&amp;"")*(INDEX(Rohdaten!$A$2:$GG$9999,,MATCH("end_date",Rohdaten!$1:$1,))&lt;&gt;""))</f>
        <v>#N/A</v>
      </c>
      <c r="F90" s="4" t="e">
        <f>IF(MATCH(B90,$B:$B,0)=ROW(B90),SUM(E90:E92),"")</f>
        <v>#N/A</v>
      </c>
    </row>
    <row r="91" spans="1:6" x14ac:dyDescent="0.25">
      <c r="A91"/>
      <c r="B91" s="4" t="s">
        <v>15</v>
      </c>
      <c r="C91" s="9">
        <v>0</v>
      </c>
      <c r="D91" s="5" t="s">
        <v>46</v>
      </c>
      <c r="E91" s="4" t="e">
        <f>SUMPRODUCT((INDEX(Rohdaten!$A$2:$GG$9999,,MATCH(B91,Rohdaten!$1:$1,))&amp;""=C91&amp;"")*(INDEX(Rohdaten!$A$2:$GG$9999,,MATCH("end_date",Rohdaten!$1:$1,))&lt;&gt;""))</f>
        <v>#N/A</v>
      </c>
      <c r="F91" s="4" t="str">
        <f>IF(MATCH(B91,$B:$B,0)=ROW(B91),SUM(E91:E93),"")</f>
        <v/>
      </c>
    </row>
    <row r="92" spans="1:6" x14ac:dyDescent="0.25">
      <c r="A92"/>
      <c r="B92" s="4" t="s">
        <v>15</v>
      </c>
      <c r="C92" s="9">
        <v>1</v>
      </c>
      <c r="D92" s="5" t="s">
        <v>47</v>
      </c>
      <c r="E92" s="4" t="e">
        <f>SUMPRODUCT((INDEX(Rohdaten!$A$2:$GG$9999,,MATCH(B92,Rohdaten!$1:$1,))&amp;""=C92&amp;"")*(INDEX(Rohdaten!$A$2:$GG$9999,,MATCH("end_date",Rohdaten!$1:$1,))&lt;&gt;""))</f>
        <v>#N/A</v>
      </c>
      <c r="F92" s="4" t="str">
        <f>IF(MATCH(B92,$B:$B,0)=ROW(B92),SUM(E92:E94),"")</f>
        <v/>
      </c>
    </row>
    <row r="93" spans="1:6" x14ac:dyDescent="0.25">
      <c r="A93" t="s">
        <v>89</v>
      </c>
      <c r="B93" s="7" t="s">
        <v>14</v>
      </c>
      <c r="C93" s="6"/>
      <c r="D93" s="8" t="s">
        <v>69</v>
      </c>
      <c r="E93" s="4" t="e">
        <f>SUMPRODUCT((INDEX(Rohdaten!$A$2:$GG$9999,,MATCH(B93,Rohdaten!$1:$1,))&amp;""=C93&amp;"")*(INDEX(Rohdaten!$A$2:$GG$9999,,MATCH("end_date",Rohdaten!$1:$1,))&lt;&gt;""))</f>
        <v>#N/A</v>
      </c>
      <c r="F93" s="4" t="e">
        <f>IF(MATCH(B93,$B:$B,0)=ROW(B93),SUM(E93:E95),"")</f>
        <v>#N/A</v>
      </c>
    </row>
    <row r="94" spans="1:6" x14ac:dyDescent="0.25">
      <c r="A94"/>
      <c r="B94" s="4" t="s">
        <v>14</v>
      </c>
      <c r="C94" s="9">
        <v>0</v>
      </c>
      <c r="D94" s="5" t="s">
        <v>46</v>
      </c>
      <c r="E94" s="4" t="e">
        <f>SUMPRODUCT((INDEX(Rohdaten!$A$2:$GG$9999,,MATCH(B94,Rohdaten!$1:$1,))&amp;""=C94&amp;"")*(INDEX(Rohdaten!$A$2:$GG$9999,,MATCH("end_date",Rohdaten!$1:$1,))&lt;&gt;""))</f>
        <v>#N/A</v>
      </c>
      <c r="F94" s="4" t="str">
        <f>IF(MATCH(B94,$B:$B,0)=ROW(B94),SUM(E94:E95),"")</f>
        <v/>
      </c>
    </row>
    <row r="95" spans="1:6" x14ac:dyDescent="0.25">
      <c r="A95"/>
      <c r="B95" s="4" t="s">
        <v>14</v>
      </c>
      <c r="C95" s="9">
        <v>1</v>
      </c>
      <c r="D95" s="5" t="s">
        <v>47</v>
      </c>
      <c r="E95" s="4" t="e">
        <f>SUMPRODUCT((INDEX(Rohdaten!$A$2:$GG$9999,,MATCH(B95,Rohdaten!$1:$1,))&amp;""=C95&amp;"")*(INDEX(Rohdaten!$A$2:$GG$9999,,MATCH("end_date",Rohdaten!$1:$1,))&lt;&gt;""))</f>
        <v>#N/A</v>
      </c>
      <c r="F95" s="4" t="str">
        <f>IF(MATCH(B95,$B:$B,0)=ROW(B95),SUM(E95:E95),"")</f>
        <v/>
      </c>
    </row>
    <row r="96" spans="1:6" x14ac:dyDescent="0.25">
      <c r="A96" t="s">
        <v>121</v>
      </c>
      <c r="B96" s="7" t="s">
        <v>151</v>
      </c>
      <c r="C96" s="6"/>
      <c r="D96" s="8" t="s">
        <v>69</v>
      </c>
      <c r="E96" s="4" t="e">
        <f>SUMPRODUCT((INDEX(Rohdaten!$A$2:$GG$9999,,MATCH(B96,Rohdaten!$1:$1,))&amp;""=C96&amp;"")*(INDEX(Rohdaten!$A$2:$GG$9999,,MATCH("end_date",Rohdaten!$1:$1,))&lt;&gt;""))</f>
        <v>#N/A</v>
      </c>
      <c r="F96" s="4" t="e">
        <f>IF(MATCH(B96,$B:$B,0)=ROW(B96),SUM(E96:E98),"")</f>
        <v>#N/A</v>
      </c>
    </row>
    <row r="97" spans="1:6" x14ac:dyDescent="0.25">
      <c r="A97"/>
      <c r="B97" s="7" t="s">
        <v>151</v>
      </c>
      <c r="C97" s="9">
        <v>0</v>
      </c>
      <c r="D97" s="5" t="s">
        <v>46</v>
      </c>
      <c r="E97" s="4" t="e">
        <f>SUMPRODUCT((INDEX(Rohdaten!$A$2:$GG$9999,,MATCH(B97,Rohdaten!$1:$1,))&amp;""=C97&amp;"")*(INDEX(Rohdaten!$A$2:$GG$9999,,MATCH("end_date",Rohdaten!$1:$1,))&lt;&gt;""))</f>
        <v>#N/A</v>
      </c>
      <c r="F97" s="4" t="str">
        <f>IF(MATCH(B97,$B:$B,0)=ROW(B97),SUM(E97:E98),"")</f>
        <v/>
      </c>
    </row>
    <row r="98" spans="1:6" x14ac:dyDescent="0.25">
      <c r="A98"/>
      <c r="B98" s="7" t="s">
        <v>151</v>
      </c>
      <c r="C98" s="9">
        <v>1</v>
      </c>
      <c r="D98" s="5" t="s">
        <v>47</v>
      </c>
      <c r="E98" s="4" t="e">
        <f>SUMPRODUCT((INDEX(Rohdaten!$A$2:$GG$9999,,MATCH(B98,Rohdaten!$1:$1,))&amp;""=C98&amp;"")*(INDEX(Rohdaten!$A$2:$GG$9999,,MATCH("end_date",Rohdaten!$1:$1,))&lt;&gt;""))</f>
        <v>#N/A</v>
      </c>
      <c r="F98" s="4" t="str">
        <f>IF(MATCH(B98,$B:$B,0)=ROW(B98),SUM(E98:E98),"")</f>
        <v/>
      </c>
    </row>
    <row r="99" spans="1:6" x14ac:dyDescent="0.25">
      <c r="A99" s="12" t="s">
        <v>91</v>
      </c>
      <c r="B99" s="13" t="s">
        <v>111</v>
      </c>
      <c r="C99" s="12"/>
      <c r="D99" s="12"/>
      <c r="E99" s="13"/>
      <c r="F99" s="13"/>
    </row>
    <row r="100" spans="1:6" x14ac:dyDescent="0.25">
      <c r="A100"/>
      <c r="B100" t="s">
        <v>18</v>
      </c>
      <c r="C100" t="b">
        <v>1</v>
      </c>
      <c r="E100" s="4" t="e">
        <f>SUMPRODUCT((INDEX(Rohdaten!$A$2:$GG$9999,,MATCH(B100,Rohdaten!$1:$1,))&amp;""=C100&amp;"")*(Rohdaten!$A$2:$A$9999&lt;&gt;""))</f>
        <v>#N/A</v>
      </c>
      <c r="F100" s="4" t="e">
        <f t="shared" ref="F100:F127" si="5">IF(MATCH(B100,$B:$B,0)=ROW(B100),SUM(E100:E101),"")</f>
        <v>#N/A</v>
      </c>
    </row>
    <row r="101" spans="1:6" x14ac:dyDescent="0.25">
      <c r="A101"/>
      <c r="B101" t="s">
        <v>18</v>
      </c>
      <c r="C101" t="b">
        <v>0</v>
      </c>
      <c r="E101" s="4" t="e">
        <f>SUMPRODUCT((INDEX(Rohdaten!$A$2:$GG$9999,,MATCH(B101,Rohdaten!$1:$1,))&amp;""=C101&amp;"")*(Rohdaten!$A$2:$A$9999&lt;&gt;""))</f>
        <v>#N/A</v>
      </c>
      <c r="F101" s="4" t="str">
        <f t="shared" si="5"/>
        <v/>
      </c>
    </row>
    <row r="102" spans="1:6" x14ac:dyDescent="0.25">
      <c r="A102"/>
      <c r="B102" t="s">
        <v>19</v>
      </c>
      <c r="C102" t="b">
        <v>1</v>
      </c>
      <c r="E102" s="4" t="e">
        <f>SUMPRODUCT((INDEX(Rohdaten!$A$2:$GG$9999,,MATCH(B102,Rohdaten!$1:$1,))&amp;""=C102&amp;"")*(Rohdaten!$A$2:$A$9999&lt;&gt;""))</f>
        <v>#N/A</v>
      </c>
      <c r="F102" s="4" t="e">
        <f t="shared" si="5"/>
        <v>#N/A</v>
      </c>
    </row>
    <row r="103" spans="1:6" x14ac:dyDescent="0.25">
      <c r="A103"/>
      <c r="B103" t="s">
        <v>19</v>
      </c>
      <c r="C103" t="b">
        <v>0</v>
      </c>
      <c r="E103" s="4" t="e">
        <f>SUMPRODUCT((INDEX(Rohdaten!$A$2:$GG$9999,,MATCH(B103,Rohdaten!$1:$1,))&amp;""=C103&amp;"")*(Rohdaten!$A$2:$A$9999&lt;&gt;""))</f>
        <v>#N/A</v>
      </c>
      <c r="F103" s="4" t="str">
        <f t="shared" si="5"/>
        <v/>
      </c>
    </row>
    <row r="104" spans="1:6" x14ac:dyDescent="0.25">
      <c r="A104"/>
      <c r="B104" t="s">
        <v>20</v>
      </c>
      <c r="C104" t="b">
        <v>1</v>
      </c>
      <c r="E104" s="4" t="e">
        <f>SUMPRODUCT((INDEX(Rohdaten!$A$2:$GG$9999,,MATCH(B104,Rohdaten!$1:$1,))&amp;""=C104&amp;"")*(Rohdaten!$A$2:$A$9999&lt;&gt;""))</f>
        <v>#N/A</v>
      </c>
      <c r="F104" s="4" t="e">
        <f t="shared" si="5"/>
        <v>#N/A</v>
      </c>
    </row>
    <row r="105" spans="1:6" x14ac:dyDescent="0.25">
      <c r="A105"/>
      <c r="B105" t="s">
        <v>20</v>
      </c>
      <c r="C105" t="b">
        <v>0</v>
      </c>
      <c r="E105" s="4" t="e">
        <f>SUMPRODUCT((INDEX(Rohdaten!$A$2:$GG$9999,,MATCH(B105,Rohdaten!$1:$1,))&amp;""=C105&amp;"")*(Rohdaten!$A$2:$A$9999&lt;&gt;""))</f>
        <v>#N/A</v>
      </c>
      <c r="F105" s="4" t="str">
        <f t="shared" si="5"/>
        <v/>
      </c>
    </row>
    <row r="106" spans="1:6" x14ac:dyDescent="0.25">
      <c r="A106"/>
      <c r="B106" t="s">
        <v>21</v>
      </c>
      <c r="C106" t="b">
        <v>1</v>
      </c>
      <c r="E106" s="4" t="e">
        <f>SUMPRODUCT((INDEX(Rohdaten!$A$2:$GG$9999,,MATCH(B106,Rohdaten!$1:$1,))&amp;""=C106&amp;"")*(Rohdaten!$A$2:$A$9999&lt;&gt;""))</f>
        <v>#N/A</v>
      </c>
      <c r="F106" s="4" t="e">
        <f t="shared" si="5"/>
        <v>#N/A</v>
      </c>
    </row>
    <row r="107" spans="1:6" x14ac:dyDescent="0.25">
      <c r="A107"/>
      <c r="B107" t="s">
        <v>21</v>
      </c>
      <c r="C107" t="b">
        <v>0</v>
      </c>
      <c r="E107" s="4" t="e">
        <f>SUMPRODUCT((INDEX(Rohdaten!$A$2:$GG$9999,,MATCH(B107,Rohdaten!$1:$1,))&amp;""=C107&amp;"")*(Rohdaten!$A$2:$A$9999&lt;&gt;""))</f>
        <v>#N/A</v>
      </c>
      <c r="F107" s="4" t="str">
        <f t="shared" si="5"/>
        <v/>
      </c>
    </row>
    <row r="108" spans="1:6" x14ac:dyDescent="0.25">
      <c r="A108"/>
      <c r="B108" t="s">
        <v>22</v>
      </c>
      <c r="C108" t="b">
        <v>1</v>
      </c>
      <c r="E108" s="4" t="e">
        <f>SUMPRODUCT((INDEX(Rohdaten!$A$2:$GG$9999,,MATCH(B108,Rohdaten!$1:$1,))&amp;""=C108&amp;"")*(Rohdaten!$A$2:$A$9999&lt;&gt;""))</f>
        <v>#N/A</v>
      </c>
      <c r="F108" s="4" t="e">
        <f t="shared" si="5"/>
        <v>#N/A</v>
      </c>
    </row>
    <row r="109" spans="1:6" x14ac:dyDescent="0.25">
      <c r="A109"/>
      <c r="B109" t="s">
        <v>22</v>
      </c>
      <c r="C109" t="b">
        <v>0</v>
      </c>
      <c r="D109" s="45"/>
      <c r="E109" s="4" t="e">
        <f>SUMPRODUCT((INDEX(Rohdaten!$A$2:$GG$9999,,MATCH(B109,Rohdaten!$1:$1,))&amp;""=C109&amp;"")*(Rohdaten!$A$2:$A$9999&lt;&gt;""))</f>
        <v>#N/A</v>
      </c>
      <c r="F109" s="4" t="str">
        <f t="shared" si="5"/>
        <v/>
      </c>
    </row>
    <row r="110" spans="1:6" x14ac:dyDescent="0.25">
      <c r="A110"/>
      <c r="B110" t="s">
        <v>23</v>
      </c>
      <c r="C110" t="b">
        <v>1</v>
      </c>
      <c r="E110" s="4" t="e">
        <f>SUMPRODUCT((INDEX(Rohdaten!$A$2:$GG$9999,,MATCH(B110,Rohdaten!$1:$1,))&amp;""=C110&amp;"")*(Rohdaten!$A$2:$A$9999&lt;&gt;""))</f>
        <v>#N/A</v>
      </c>
      <c r="F110" s="4" t="e">
        <f t="shared" si="5"/>
        <v>#N/A</v>
      </c>
    </row>
    <row r="111" spans="1:6" x14ac:dyDescent="0.25">
      <c r="A111"/>
      <c r="B111" t="s">
        <v>23</v>
      </c>
      <c r="C111" t="b">
        <v>0</v>
      </c>
      <c r="E111" s="4" t="e">
        <f>SUMPRODUCT((INDEX(Rohdaten!$A$2:$GG$9999,,MATCH(B111,Rohdaten!$1:$1,))&amp;""=C111&amp;"")*(Rohdaten!$A$2:$A$9999&lt;&gt;""))</f>
        <v>#N/A</v>
      </c>
      <c r="F111" s="4" t="str">
        <f t="shared" si="5"/>
        <v/>
      </c>
    </row>
    <row r="112" spans="1:6" x14ac:dyDescent="0.25">
      <c r="A112"/>
      <c r="B112" t="s">
        <v>24</v>
      </c>
      <c r="C112" t="b">
        <v>1</v>
      </c>
      <c r="E112" s="4" t="e">
        <f>SUMPRODUCT((INDEX(Rohdaten!$A$2:$GG$9999,,MATCH(B112,Rohdaten!$1:$1,))&amp;""=C112&amp;"")*(Rohdaten!$A$2:$A$9999&lt;&gt;""))</f>
        <v>#N/A</v>
      </c>
      <c r="F112" s="4" t="e">
        <f t="shared" si="5"/>
        <v>#N/A</v>
      </c>
    </row>
    <row r="113" spans="1:8" x14ac:dyDescent="0.25">
      <c r="A113"/>
      <c r="B113" t="s">
        <v>24</v>
      </c>
      <c r="C113" t="b">
        <v>0</v>
      </c>
      <c r="E113" s="4" t="e">
        <f>SUMPRODUCT((INDEX(Rohdaten!$A$2:$GG$9999,,MATCH(B113,Rohdaten!$1:$1,))&amp;""=C113&amp;"")*(Rohdaten!$A$2:$A$9999&lt;&gt;""))</f>
        <v>#N/A</v>
      </c>
      <c r="F113" s="4" t="str">
        <f t="shared" si="5"/>
        <v/>
      </c>
    </row>
    <row r="114" spans="1:8" x14ac:dyDescent="0.25">
      <c r="A114"/>
      <c r="B114" t="s">
        <v>25</v>
      </c>
      <c r="C114" t="b">
        <v>1</v>
      </c>
      <c r="E114" s="4" t="e">
        <f>SUMPRODUCT((INDEX(Rohdaten!$A$2:$GG$9999,,MATCH(B114,Rohdaten!$1:$1,))&amp;""=C114&amp;"")*(Rohdaten!$A$2:$A$9999&lt;&gt;""))</f>
        <v>#N/A</v>
      </c>
      <c r="F114" s="4" t="e">
        <f t="shared" si="5"/>
        <v>#N/A</v>
      </c>
    </row>
    <row r="115" spans="1:8" x14ac:dyDescent="0.25">
      <c r="A115"/>
      <c r="B115" t="s">
        <v>25</v>
      </c>
      <c r="C115" t="b">
        <v>0</v>
      </c>
      <c r="E115" s="4" t="e">
        <f>SUMPRODUCT((INDEX(Rohdaten!$A$2:$GG$9999,,MATCH(B115,Rohdaten!$1:$1,))&amp;""=C115&amp;"")*(Rohdaten!$A$2:$A$9999&lt;&gt;""))</f>
        <v>#N/A</v>
      </c>
      <c r="F115" s="4" t="str">
        <f t="shared" si="5"/>
        <v/>
      </c>
    </row>
    <row r="116" spans="1:8" x14ac:dyDescent="0.25">
      <c r="A116"/>
      <c r="B116" t="s">
        <v>26</v>
      </c>
      <c r="C116" t="b">
        <v>1</v>
      </c>
      <c r="E116" s="4" t="e">
        <f>SUMPRODUCT((INDEX(Rohdaten!$A$2:$GG$9999,,MATCH(B116,Rohdaten!$1:$1,))&amp;""=C116&amp;"")*(Rohdaten!$A$2:$A$9999&lt;&gt;""))</f>
        <v>#N/A</v>
      </c>
      <c r="F116" s="4" t="e">
        <f t="shared" si="5"/>
        <v>#N/A</v>
      </c>
    </row>
    <row r="117" spans="1:8" x14ac:dyDescent="0.25">
      <c r="A117"/>
      <c r="B117" t="s">
        <v>26</v>
      </c>
      <c r="C117" t="b">
        <v>0</v>
      </c>
      <c r="E117" s="4" t="e">
        <f>SUMPRODUCT((INDEX(Rohdaten!$A$2:$GG$9999,,MATCH(B117,Rohdaten!$1:$1,))&amp;""=C117&amp;"")*(Rohdaten!$A$2:$A$9999&lt;&gt;""))</f>
        <v>#N/A</v>
      </c>
      <c r="F117" s="4" t="str">
        <f t="shared" si="5"/>
        <v/>
      </c>
    </row>
    <row r="118" spans="1:8" x14ac:dyDescent="0.25">
      <c r="A118"/>
      <c r="B118" t="s">
        <v>27</v>
      </c>
      <c r="C118" t="b">
        <v>1</v>
      </c>
      <c r="E118" s="4" t="e">
        <f>SUMPRODUCT((INDEX(Rohdaten!$A$2:$GG$9999,,MATCH(B118,Rohdaten!$1:$1,))&amp;""=C118&amp;"")*(Rohdaten!$A$2:$A$9999&lt;&gt;""))</f>
        <v>#N/A</v>
      </c>
      <c r="F118" s="4" t="e">
        <f t="shared" si="5"/>
        <v>#N/A</v>
      </c>
    </row>
    <row r="119" spans="1:8" x14ac:dyDescent="0.25">
      <c r="A119"/>
      <c r="B119" t="s">
        <v>27</v>
      </c>
      <c r="C119" t="b">
        <v>0</v>
      </c>
      <c r="E119" s="4" t="e">
        <f>SUMPRODUCT((INDEX(Rohdaten!$A$2:$GG$9999,,MATCH(B119,Rohdaten!$1:$1,))&amp;""=C119&amp;"")*(Rohdaten!$A$2:$A$9999&lt;&gt;""))</f>
        <v>#N/A</v>
      </c>
      <c r="F119" s="4" t="str">
        <f t="shared" si="5"/>
        <v/>
      </c>
    </row>
    <row r="120" spans="1:8" x14ac:dyDescent="0.25">
      <c r="A120"/>
      <c r="B120" t="s">
        <v>28</v>
      </c>
      <c r="C120" t="b">
        <v>1</v>
      </c>
      <c r="E120" s="4" t="e">
        <f>SUMPRODUCT((INDEX(Rohdaten!$A$2:$GG$9999,,MATCH(B120,Rohdaten!$1:$1,))&amp;""=C120&amp;"")*(Rohdaten!$A$2:$A$9999&lt;&gt;""))</f>
        <v>#N/A</v>
      </c>
      <c r="F120" s="4" t="e">
        <f t="shared" si="5"/>
        <v>#N/A</v>
      </c>
    </row>
    <row r="121" spans="1:8" x14ac:dyDescent="0.25">
      <c r="A121"/>
      <c r="B121" t="s">
        <v>28</v>
      </c>
      <c r="C121" t="b">
        <v>0</v>
      </c>
      <c r="E121" s="4" t="e">
        <f>SUMPRODUCT((INDEX(Rohdaten!$A$2:$GG$9999,,MATCH(B121,Rohdaten!$1:$1,))&amp;""=C121&amp;"")*(Rohdaten!$A$2:$A$9999&lt;&gt;""))</f>
        <v>#N/A</v>
      </c>
      <c r="F121" s="4" t="str">
        <f t="shared" si="5"/>
        <v/>
      </c>
    </row>
    <row r="122" spans="1:8" x14ac:dyDescent="0.25">
      <c r="A122"/>
      <c r="B122" t="s">
        <v>29</v>
      </c>
      <c r="C122" t="b">
        <v>1</v>
      </c>
      <c r="E122" s="4" t="e">
        <f>SUMPRODUCT((INDEX(Rohdaten!$A$2:$GG$9999,,MATCH(B122,Rohdaten!$1:$1,))&amp;""=C122&amp;"")*(Rohdaten!$A$2:$A$9999&lt;&gt;""))</f>
        <v>#N/A</v>
      </c>
      <c r="F122" s="4" t="e">
        <f t="shared" si="5"/>
        <v>#N/A</v>
      </c>
    </row>
    <row r="123" spans="1:8" x14ac:dyDescent="0.25">
      <c r="A123"/>
      <c r="B123" t="s">
        <v>29</v>
      </c>
      <c r="C123" t="b">
        <v>0</v>
      </c>
      <c r="E123" s="4" t="e">
        <f>SUMPRODUCT((INDEX(Rohdaten!$A$2:$GG$9999,,MATCH(B123,Rohdaten!$1:$1,))&amp;""=C123&amp;"")*(Rohdaten!$A$2:$A$9999&lt;&gt;""))</f>
        <v>#N/A</v>
      </c>
      <c r="F123" s="4" t="str">
        <f t="shared" si="5"/>
        <v/>
      </c>
    </row>
    <row r="124" spans="1:8" x14ac:dyDescent="0.25">
      <c r="A124"/>
      <c r="B124" t="s">
        <v>30</v>
      </c>
      <c r="C124" t="b">
        <v>1</v>
      </c>
      <c r="E124" s="4" t="e">
        <f>SUMPRODUCT((INDEX(Rohdaten!$A$2:$GG$9999,,MATCH(B124,Rohdaten!$1:$1,))&amp;""=C124&amp;"")*(Rohdaten!$A$2:$A$9999&lt;&gt;""))</f>
        <v>#N/A</v>
      </c>
      <c r="F124" s="4" t="e">
        <f t="shared" si="5"/>
        <v>#N/A</v>
      </c>
    </row>
    <row r="125" spans="1:8" x14ac:dyDescent="0.25">
      <c r="A125"/>
      <c r="B125" t="s">
        <v>30</v>
      </c>
      <c r="C125" t="b">
        <v>0</v>
      </c>
      <c r="E125" s="4" t="e">
        <f>SUMPRODUCT((INDEX(Rohdaten!$A$2:$GG$9999,,MATCH(B125,Rohdaten!$1:$1,))&amp;""=C125&amp;"")*(Rohdaten!$A$2:$A$9999&lt;&gt;""))</f>
        <v>#N/A</v>
      </c>
      <c r="F125" s="4" t="str">
        <f t="shared" si="5"/>
        <v/>
      </c>
    </row>
    <row r="126" spans="1:8" x14ac:dyDescent="0.25">
      <c r="A126"/>
      <c r="B126" t="s">
        <v>31</v>
      </c>
      <c r="C126" t="b">
        <v>1</v>
      </c>
      <c r="E126" s="4" t="e">
        <f>SUMPRODUCT((INDEX(Rohdaten!$A$2:$GG$9999,,MATCH(B126,Rohdaten!$1:$1,))&amp;""=C126&amp;"")*(Rohdaten!$A$2:$A$9999&lt;&gt;""))</f>
        <v>#N/A</v>
      </c>
      <c r="F126" s="4" t="e">
        <f t="shared" si="5"/>
        <v>#N/A</v>
      </c>
    </row>
    <row r="127" spans="1:8" x14ac:dyDescent="0.25">
      <c r="A127"/>
      <c r="B127" t="s">
        <v>31</v>
      </c>
      <c r="C127" t="b">
        <v>0</v>
      </c>
      <c r="E127" s="4" t="e">
        <f>SUMPRODUCT((INDEX(Rohdaten!$A$2:$GG$9999,,MATCH(B127,Rohdaten!$1:$1,))&amp;""=C127&amp;"")*(Rohdaten!$A$2:$A$9999&lt;&gt;""))</f>
        <v>#N/A</v>
      </c>
      <c r="F127" s="4" t="str">
        <f t="shared" si="5"/>
        <v/>
      </c>
    </row>
    <row r="128" spans="1:8" x14ac:dyDescent="0.25">
      <c r="A128"/>
      <c r="B128" s="17" t="s">
        <v>32</v>
      </c>
      <c r="C128" s="24" t="b">
        <v>1</v>
      </c>
      <c r="D128" s="24"/>
      <c r="E128" s="4" t="e">
        <f>SUMPRODUCT((INDEX(Rohdaten!$A$2:$GG$9999,,MATCH($B128,Rohdaten!$1:$1,))&amp;""=$C128&amp;"")*(Rohdaten!$A$2:$A$9999&lt;&gt;""))</f>
        <v>#N/A</v>
      </c>
      <c r="F128" s="4" t="e">
        <f t="shared" ref="F128:F140" si="6">IF(MATCH(B128,$B:$B,0)=ROW(B128),SUM(E128:E130),"")</f>
        <v>#N/A</v>
      </c>
      <c r="G128" s="36"/>
      <c r="H128" s="4"/>
    </row>
    <row r="129" spans="1:8" x14ac:dyDescent="0.25">
      <c r="A129"/>
      <c r="B129" s="17" t="s">
        <v>32</v>
      </c>
      <c r="C129" s="24" t="b">
        <v>0</v>
      </c>
      <c r="D129" s="24"/>
      <c r="E129" s="4" t="e">
        <f>SUMPRODUCT((INDEX(Rohdaten!$A$2:$GG$9999,,MATCH($B129,Rohdaten!$1:$1,))&amp;""=$C129&amp;"")*(Rohdaten!$A$2:$A$9999&lt;&gt;""))</f>
        <v>#N/A</v>
      </c>
      <c r="F129" s="4" t="str">
        <f t="shared" si="6"/>
        <v/>
      </c>
      <c r="G129" s="36"/>
      <c r="H129" s="4"/>
    </row>
    <row r="130" spans="1:8" x14ac:dyDescent="0.25">
      <c r="A130"/>
      <c r="B130" s="17" t="s">
        <v>32</v>
      </c>
      <c r="C130" s="24"/>
      <c r="D130" s="24" t="s">
        <v>45</v>
      </c>
      <c r="E130" s="4" t="e">
        <f>SUMPRODUCT((INDEX(Rohdaten!$A$2:$GG$9999,,MATCH($B130,Rohdaten!$1:$1,))&amp;""=$C130&amp;"")*(Rohdaten!$A$2:$A$9999&lt;&gt;""))</f>
        <v>#N/A</v>
      </c>
      <c r="F130" s="4" t="str">
        <f t="shared" si="6"/>
        <v/>
      </c>
      <c r="G130" s="36"/>
      <c r="H130" s="4"/>
    </row>
    <row r="131" spans="1:8" x14ac:dyDescent="0.25">
      <c r="A131"/>
      <c r="B131" s="17" t="s">
        <v>33</v>
      </c>
      <c r="C131" s="24" t="b">
        <v>1</v>
      </c>
      <c r="D131" s="24"/>
      <c r="E131" s="4" t="e">
        <f>SUMPRODUCT((INDEX(Rohdaten!$A$2:$GG$9999,,MATCH($B131,Rohdaten!$1:$1,))&amp;""=$C131&amp;"")*(Rohdaten!$A$2:$A$9999&lt;&gt;""))</f>
        <v>#N/A</v>
      </c>
      <c r="F131" s="4" t="e">
        <f t="shared" si="6"/>
        <v>#N/A</v>
      </c>
      <c r="G131" s="36"/>
      <c r="H131" s="4"/>
    </row>
    <row r="132" spans="1:8" x14ac:dyDescent="0.25">
      <c r="A132"/>
      <c r="B132" s="17" t="s">
        <v>33</v>
      </c>
      <c r="C132" s="24" t="b">
        <v>0</v>
      </c>
      <c r="D132" s="24"/>
      <c r="E132" s="4" t="e">
        <f>SUMPRODUCT((INDEX(Rohdaten!$A$2:$GG$9999,,MATCH($B132,Rohdaten!$1:$1,))&amp;""=$C132&amp;"")*(Rohdaten!$A$2:$A$9999&lt;&gt;""))</f>
        <v>#N/A</v>
      </c>
      <c r="F132" s="4" t="str">
        <f t="shared" si="6"/>
        <v/>
      </c>
      <c r="G132" s="36"/>
      <c r="H132" s="4"/>
    </row>
    <row r="133" spans="1:8" x14ac:dyDescent="0.25">
      <c r="A133"/>
      <c r="B133" s="17" t="s">
        <v>33</v>
      </c>
      <c r="C133" s="24"/>
      <c r="D133" s="24" t="s">
        <v>45</v>
      </c>
      <c r="E133" s="4" t="e">
        <f>SUMPRODUCT((INDEX(Rohdaten!$A$2:$GG$9999,,MATCH($B133,Rohdaten!$1:$1,))&amp;""=$C133&amp;"")*(Rohdaten!$A$2:$A$9999&lt;&gt;""))</f>
        <v>#N/A</v>
      </c>
      <c r="F133" s="4" t="str">
        <f t="shared" si="6"/>
        <v/>
      </c>
      <c r="G133" s="36"/>
      <c r="H133" s="4"/>
    </row>
    <row r="134" spans="1:8" x14ac:dyDescent="0.25">
      <c r="A134"/>
      <c r="B134" s="17" t="s">
        <v>34</v>
      </c>
      <c r="C134" s="24" t="b">
        <v>1</v>
      </c>
      <c r="D134" s="24"/>
      <c r="E134" s="4" t="e">
        <f>SUMPRODUCT((INDEX(Rohdaten!$A$2:$GG$9999,,MATCH($B134,Rohdaten!$1:$1,))&amp;""=$C134&amp;"")*(Rohdaten!$A$2:$A$9999&lt;&gt;""))</f>
        <v>#N/A</v>
      </c>
      <c r="F134" s="4" t="e">
        <f t="shared" si="6"/>
        <v>#N/A</v>
      </c>
      <c r="G134" s="36"/>
      <c r="H134" s="4"/>
    </row>
    <row r="135" spans="1:8" x14ac:dyDescent="0.25">
      <c r="A135"/>
      <c r="B135" s="17" t="s">
        <v>34</v>
      </c>
      <c r="C135" s="24" t="b">
        <v>0</v>
      </c>
      <c r="D135" s="24"/>
      <c r="E135" s="4" t="e">
        <f>SUMPRODUCT((INDEX(Rohdaten!$A$2:$GG$9999,,MATCH($B135,Rohdaten!$1:$1,))&amp;""=$C135&amp;"")*(Rohdaten!$A$2:$A$9999&lt;&gt;""))</f>
        <v>#N/A</v>
      </c>
      <c r="F135" s="4" t="str">
        <f t="shared" si="6"/>
        <v/>
      </c>
      <c r="G135" s="36"/>
      <c r="H135" s="4"/>
    </row>
    <row r="136" spans="1:8" x14ac:dyDescent="0.25">
      <c r="A136"/>
      <c r="B136" s="17" t="s">
        <v>34</v>
      </c>
      <c r="C136" s="24"/>
      <c r="D136" s="24" t="s">
        <v>45</v>
      </c>
      <c r="E136" s="4" t="e">
        <f>SUMPRODUCT((INDEX(Rohdaten!$A$2:$GG$9999,,MATCH($B136,Rohdaten!$1:$1,))&amp;""=$C136&amp;"")*(Rohdaten!$A$2:$A$9999&lt;&gt;""))</f>
        <v>#N/A</v>
      </c>
      <c r="F136" s="4" t="str">
        <f t="shared" si="6"/>
        <v/>
      </c>
      <c r="G136" s="36"/>
      <c r="H136" s="4"/>
    </row>
    <row r="137" spans="1:8" x14ac:dyDescent="0.25">
      <c r="A137"/>
      <c r="B137" s="17" t="s">
        <v>35</v>
      </c>
      <c r="C137" s="24" t="b">
        <v>1</v>
      </c>
      <c r="D137" s="24"/>
      <c r="E137" s="4" t="e">
        <f>SUMPRODUCT((INDEX(Rohdaten!$A$2:$GG$9999,,MATCH($B137,Rohdaten!$1:$1,))&amp;""=$C137&amp;"")*(Rohdaten!$A$2:$A$9999&lt;&gt;""))</f>
        <v>#N/A</v>
      </c>
      <c r="F137" s="4" t="e">
        <f t="shared" si="6"/>
        <v>#N/A</v>
      </c>
      <c r="G137" s="36"/>
      <c r="H137" s="4"/>
    </row>
    <row r="138" spans="1:8" x14ac:dyDescent="0.25">
      <c r="A138"/>
      <c r="B138" s="17" t="s">
        <v>35</v>
      </c>
      <c r="C138" s="24" t="b">
        <v>0</v>
      </c>
      <c r="D138" s="24"/>
      <c r="E138" s="4" t="e">
        <f>SUMPRODUCT((INDEX(Rohdaten!$A$2:$GG$9999,,MATCH($B138,Rohdaten!$1:$1,))&amp;""=$C138&amp;"")*(Rohdaten!$A$2:$A$9999&lt;&gt;""))</f>
        <v>#N/A</v>
      </c>
      <c r="F138" s="4" t="str">
        <f t="shared" si="6"/>
        <v/>
      </c>
      <c r="G138" s="36"/>
      <c r="H138" s="4"/>
    </row>
    <row r="139" spans="1:8" x14ac:dyDescent="0.25">
      <c r="A139"/>
      <c r="B139" s="17" t="s">
        <v>35</v>
      </c>
      <c r="C139" s="24"/>
      <c r="D139" s="24" t="s">
        <v>45</v>
      </c>
      <c r="E139" s="4" t="e">
        <f>SUMPRODUCT((INDEX(Rohdaten!$A$2:$GG$9999,,MATCH($B139,Rohdaten!$1:$1,))&amp;""=$C139&amp;"")*(Rohdaten!$A$2:$A$9999&lt;&gt;""))</f>
        <v>#N/A</v>
      </c>
      <c r="F139" s="4" t="str">
        <f t="shared" si="6"/>
        <v/>
      </c>
      <c r="G139" s="36"/>
      <c r="H139" s="4"/>
    </row>
    <row r="140" spans="1:8" x14ac:dyDescent="0.25">
      <c r="A140" t="s">
        <v>140</v>
      </c>
      <c r="B140" t="s">
        <v>36</v>
      </c>
      <c r="C140" s="24" t="b">
        <v>1</v>
      </c>
      <c r="D140" s="24"/>
      <c r="E140" s="4" t="e">
        <f>SUMPRODUCT((INDEX(Rohdaten!$A$2:$GG$9999,,MATCH(B140,Rohdaten!$1:$1,))&amp;""=C140&amp;"")*(INDEX(Rohdaten!$A$2:$GG$9999,,MATCH("end_date",Rohdaten!$1:$1,))&lt;&gt;""))</f>
        <v>#N/A</v>
      </c>
      <c r="F140" s="4" t="e">
        <f t="shared" si="6"/>
        <v>#N/A</v>
      </c>
    </row>
    <row r="141" spans="1:8" x14ac:dyDescent="0.25">
      <c r="A141"/>
      <c r="B141" t="s">
        <v>36</v>
      </c>
      <c r="C141" s="24" t="b">
        <v>0</v>
      </c>
      <c r="D141" s="24"/>
      <c r="E141" s="4" t="e">
        <f>SUMPRODUCT((INDEX(Rohdaten!$A$2:$GG$9999,,MATCH(B141,Rohdaten!$1:$1,))&amp;""=C141&amp;"")*(INDEX(Rohdaten!$A$2:$GG$9999,,MATCH("end_date",Rohdaten!$1:$1,))&lt;&gt;""))</f>
        <v>#N/A</v>
      </c>
      <c r="F141" s="4"/>
    </row>
    <row r="142" spans="1:8" x14ac:dyDescent="0.25">
      <c r="A142"/>
      <c r="B142" t="s">
        <v>36</v>
      </c>
      <c r="D142" t="s">
        <v>45</v>
      </c>
      <c r="E142" s="4" t="e">
        <f>SUMPRODUCT((INDEX(Rohdaten!$A$2:$GG$9999,,MATCH(B142,Rohdaten!$1:$1,))&amp;""=C142&amp;"")*(INDEX(Rohdaten!$A$2:$GG$9999,,MATCH("end_date",Rohdaten!$1:$1,))&lt;&gt;""))</f>
        <v>#N/A</v>
      </c>
      <c r="F142" s="4"/>
    </row>
    <row r="143" spans="1:8" x14ac:dyDescent="0.25">
      <c r="A143" t="s">
        <v>141</v>
      </c>
      <c r="B143" t="s">
        <v>37</v>
      </c>
      <c r="C143" t="b">
        <v>1</v>
      </c>
      <c r="E143" s="4" t="e">
        <f>SUMPRODUCT((INDEX(Rohdaten!$A$2:$GG$9999,,MATCH(B143,Rohdaten!$1:$1,))&amp;""=C143&amp;"")*(INDEX(Rohdaten!$A$2:$GG$9999,,MATCH("end_date",Rohdaten!$1:$1,))&lt;&gt;""))</f>
        <v>#N/A</v>
      </c>
      <c r="F143" s="4" t="e">
        <f>IF(MATCH(B143,$B:$B,0)=ROW(B143),SUM(E143:E145),"")</f>
        <v>#N/A</v>
      </c>
    </row>
    <row r="144" spans="1:8" x14ac:dyDescent="0.25">
      <c r="A144"/>
      <c r="B144" t="s">
        <v>37</v>
      </c>
      <c r="C144" t="b">
        <v>0</v>
      </c>
      <c r="E144" s="4" t="e">
        <f>SUMPRODUCT((INDEX(Rohdaten!$A$2:$GG$9999,,MATCH(B144,Rohdaten!$1:$1,))&amp;""=C144&amp;"")*(INDEX(Rohdaten!$A$2:$GG$9999,,MATCH("end_date",Rohdaten!$1:$1,))&lt;&gt;""))</f>
        <v>#N/A</v>
      </c>
      <c r="F144" s="4"/>
    </row>
    <row r="145" spans="1:6" x14ac:dyDescent="0.25">
      <c r="A145"/>
      <c r="B145" t="s">
        <v>37</v>
      </c>
      <c r="D145" t="s">
        <v>45</v>
      </c>
      <c r="E145" s="4" t="e">
        <f>SUMPRODUCT((INDEX(Rohdaten!$A$2:$GG$9999,,MATCH(B145,Rohdaten!$1:$1,))&amp;""=C145&amp;"")*(INDEX(Rohdaten!$A$2:$GG$9999,,MATCH("end_date",Rohdaten!$1:$1,))&lt;&gt;""))</f>
        <v>#N/A</v>
      </c>
      <c r="F145" s="4"/>
    </row>
    <row r="146" spans="1:6" x14ac:dyDescent="0.25">
      <c r="A146" t="s">
        <v>143</v>
      </c>
      <c r="B146" t="s">
        <v>38</v>
      </c>
      <c r="C146" t="b">
        <v>1</v>
      </c>
      <c r="E146" s="4" t="e">
        <f>SUMPRODUCT((INDEX(Rohdaten!$A$2:$GG$9999,,MATCH(B146,Rohdaten!$1:$1,))&amp;""=C146&amp;"")*(INDEX(Rohdaten!$A$2:$GG$9999,,MATCH("end_date",Rohdaten!$1:$1,))&lt;&gt;""))</f>
        <v>#N/A</v>
      </c>
      <c r="F146" s="4" t="e">
        <f>IF(MATCH(B146,$B:$B,0)=ROW(B146),SUM(E146:E148),"")</f>
        <v>#N/A</v>
      </c>
    </row>
    <row r="147" spans="1:6" x14ac:dyDescent="0.25">
      <c r="A147"/>
      <c r="B147" t="s">
        <v>38</v>
      </c>
      <c r="C147" t="b">
        <v>0</v>
      </c>
      <c r="E147" s="4" t="e">
        <f>SUMPRODUCT((INDEX(Rohdaten!$A$2:$GG$9999,,MATCH(B147,Rohdaten!$1:$1,))&amp;""=C147&amp;"")*(INDEX(Rohdaten!$A$2:$GG$9999,,MATCH("end_date",Rohdaten!$1:$1,))&lt;&gt;""))</f>
        <v>#N/A</v>
      </c>
      <c r="F147" s="4"/>
    </row>
    <row r="148" spans="1:6" x14ac:dyDescent="0.25">
      <c r="A148"/>
      <c r="B148" t="s">
        <v>38</v>
      </c>
      <c r="D148" t="s">
        <v>45</v>
      </c>
      <c r="E148" s="4" t="e">
        <f>SUMPRODUCT((INDEX(Rohdaten!$A$2:$GG$9999,,MATCH(B148,Rohdaten!$1:$1,))&amp;""=C148&amp;"")*(INDEX(Rohdaten!$A$2:$GG$9999,,MATCH("end_date",Rohdaten!$1:$1,))&lt;&gt;""))</f>
        <v>#N/A</v>
      </c>
      <c r="F148" s="4"/>
    </row>
    <row r="149" spans="1:6" x14ac:dyDescent="0.25">
      <c r="A149" t="s">
        <v>142</v>
      </c>
      <c r="B149" t="s">
        <v>39</v>
      </c>
      <c r="C149" t="b">
        <v>1</v>
      </c>
      <c r="E149" s="4" t="e">
        <f>SUMPRODUCT((INDEX(Rohdaten!$A$2:$GG$9999,,MATCH(B149,Rohdaten!$1:$1,))&amp;""=C149&amp;"")*(INDEX(Rohdaten!$A$2:$GG$9999,,MATCH("end_date",Rohdaten!$1:$1,))&lt;&gt;""))</f>
        <v>#N/A</v>
      </c>
      <c r="F149" s="4" t="e">
        <f>IF(MATCH(B149,$B:$B,0)=ROW(B149),SUM(E149:E151),"")</f>
        <v>#N/A</v>
      </c>
    </row>
    <row r="150" spans="1:6" x14ac:dyDescent="0.25">
      <c r="A150"/>
      <c r="B150" t="s">
        <v>39</v>
      </c>
      <c r="C150" t="b">
        <v>0</v>
      </c>
      <c r="E150" s="4" t="e">
        <f>SUMPRODUCT((INDEX(Rohdaten!$A$2:$GG$9999,,MATCH(B150,Rohdaten!$1:$1,))&amp;""=C150&amp;"")*(INDEX(Rohdaten!$A$2:$GG$9999,,MATCH("end_date",Rohdaten!$1:$1,))&lt;&gt;""))</f>
        <v>#N/A</v>
      </c>
      <c r="F150" s="4"/>
    </row>
    <row r="151" spans="1:6" x14ac:dyDescent="0.25">
      <c r="A151"/>
      <c r="B151" t="s">
        <v>39</v>
      </c>
      <c r="D151" t="s">
        <v>45</v>
      </c>
      <c r="E151" s="4" t="e">
        <f>SUMPRODUCT((INDEX(Rohdaten!$A$2:$GG$9999,,MATCH(B151,Rohdaten!$1:$1,))&amp;""=C151&amp;"")*(INDEX(Rohdaten!$A$2:$GG$9999,,MATCH("end_date",Rohdaten!$1:$1,))&lt;&gt;""))</f>
        <v>#N/A</v>
      </c>
      <c r="F151" s="4"/>
    </row>
    <row r="152" spans="1:6" x14ac:dyDescent="0.25">
      <c r="A152" t="s">
        <v>144</v>
      </c>
      <c r="B152" t="s">
        <v>40</v>
      </c>
      <c r="C152" t="b">
        <v>1</v>
      </c>
      <c r="E152" s="4" t="e">
        <f>SUMPRODUCT((INDEX(Rohdaten!$A$2:$GG$9999,,MATCH(B152,Rohdaten!$1:$1,))&amp;""=C152&amp;"")*(INDEX(Rohdaten!$A$2:$GG$9999,,MATCH("end_date",Rohdaten!$1:$1,))&lt;&gt;""))</f>
        <v>#N/A</v>
      </c>
      <c r="F152" s="4" t="e">
        <f>IF(MATCH(B152,$B:$B,0)=ROW(B152),SUM(E152:E154),"")</f>
        <v>#N/A</v>
      </c>
    </row>
    <row r="153" spans="1:6" x14ac:dyDescent="0.25">
      <c r="A153"/>
      <c r="B153" t="s">
        <v>40</v>
      </c>
      <c r="C153" t="b">
        <v>0</v>
      </c>
      <c r="E153" s="4" t="e">
        <f>SUMPRODUCT((INDEX(Rohdaten!$A$2:$GG$9999,,MATCH(B153,Rohdaten!$1:$1,))&amp;""=C153&amp;"")*(INDEX(Rohdaten!$A$2:$GG$9999,,MATCH("end_date",Rohdaten!$1:$1,))&lt;&gt;""))</f>
        <v>#N/A</v>
      </c>
    </row>
    <row r="154" spans="1:6" x14ac:dyDescent="0.25">
      <c r="A154"/>
      <c r="B154" t="s">
        <v>40</v>
      </c>
      <c r="D154" t="s">
        <v>45</v>
      </c>
      <c r="E154" s="4" t="e">
        <f>SUMPRODUCT((INDEX(Rohdaten!$A$2:$GG$9999,,MATCH(B154,Rohdaten!$1:$1,))&amp;""=C154&amp;"")*(INDEX(Rohdaten!$A$2:$GG$9999,,MATCH("end_date",Rohdaten!$1:$1,))&lt;&gt;""))</f>
        <v>#N/A</v>
      </c>
    </row>
    <row r="155" spans="1:6" x14ac:dyDescent="0.25">
      <c r="A155" t="s">
        <v>152</v>
      </c>
      <c r="B155" t="s">
        <v>136</v>
      </c>
      <c r="C155" t="b">
        <v>1</v>
      </c>
      <c r="E155" s="4" t="e">
        <f>SUMPRODUCT((INDEX(Rohdaten!$A$2:$GG$9999,,MATCH(B155,Rohdaten!$1:$1,))&amp;""=C155&amp;"")*(INDEX(Rohdaten!$A$2:$GG$9999,,MATCH("end_date",Rohdaten!$1:$1,))&lt;&gt;""))</f>
        <v>#N/A</v>
      </c>
      <c r="F155" s="4" t="e">
        <f>IF(MATCH(B155,$B:$B,0)=ROW(B155),SUM(E155:E157),"")</f>
        <v>#N/A</v>
      </c>
    </row>
    <row r="156" spans="1:6" x14ac:dyDescent="0.25">
      <c r="B156" t="s">
        <v>136</v>
      </c>
      <c r="C156" t="b">
        <v>0</v>
      </c>
      <c r="E156" s="4" t="e">
        <f>SUMPRODUCT((INDEX(Rohdaten!$A$2:$GG$9999,,MATCH(B156,Rohdaten!$1:$1,))&amp;""=C156&amp;"")*(INDEX(Rohdaten!$A$2:$GG$9999,,MATCH("end_date",Rohdaten!$1:$1,))&lt;&gt;""))</f>
        <v>#N/A</v>
      </c>
    </row>
    <row r="157" spans="1:6" x14ac:dyDescent="0.25">
      <c r="B157" t="s">
        <v>136</v>
      </c>
      <c r="D157" t="s">
        <v>45</v>
      </c>
      <c r="E157" s="4" t="e">
        <f>SUMPRODUCT((INDEX(Rohdaten!$A$2:$GG$9999,,MATCH(B157,Rohdaten!$1:$1,))&amp;""=C157&amp;"")*(INDEX(Rohdaten!$A$2:$GG$9999,,MATCH("end_date",Rohdaten!$1:$1,))&lt;&gt;""))</f>
        <v>#N/A</v>
      </c>
    </row>
    <row r="159" spans="1:6" x14ac:dyDescent="0.25">
      <c r="B159" s="45"/>
    </row>
    <row r="161" spans="2:2" x14ac:dyDescent="0.25">
      <c r="B161" s="45"/>
    </row>
    <row r="163" spans="2:2" x14ac:dyDescent="0.25">
      <c r="B163" s="45"/>
    </row>
    <row r="165" spans="2:2" x14ac:dyDescent="0.25">
      <c r="B165" s="45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6"/>
  <sheetViews>
    <sheetView zoomScaleNormal="100"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18.5703125" style="33" customWidth="1"/>
    <col min="2" max="2" width="26.28515625" style="2" customWidth="1"/>
    <col min="3" max="3" width="53.5703125" customWidth="1"/>
    <col min="4" max="4" width="7.5703125" bestFit="1" customWidth="1"/>
    <col min="5" max="5" width="41.28515625" customWidth="1"/>
    <col min="7" max="7" width="8.42578125" bestFit="1" customWidth="1"/>
    <col min="8" max="8" width="53.28515625" bestFit="1" customWidth="1"/>
  </cols>
  <sheetData>
    <row r="1" spans="1:9" s="1" customFormat="1" x14ac:dyDescent="0.25">
      <c r="A1" s="31" t="s">
        <v>125</v>
      </c>
      <c r="B1" s="30" t="s">
        <v>124</v>
      </c>
      <c r="C1" s="10" t="s">
        <v>49</v>
      </c>
      <c r="D1" s="10" t="s">
        <v>50</v>
      </c>
      <c r="E1" s="10" t="s">
        <v>51</v>
      </c>
      <c r="F1" s="10" t="s">
        <v>48</v>
      </c>
      <c r="G1" s="10" t="s">
        <v>52</v>
      </c>
      <c r="H1" s="10" t="s">
        <v>128</v>
      </c>
    </row>
    <row r="2" spans="1:9" s="1" customFormat="1" x14ac:dyDescent="0.25">
      <c r="A2" s="32" t="s">
        <v>96</v>
      </c>
      <c r="B2" s="15"/>
      <c r="C2" s="13" t="s">
        <v>110</v>
      </c>
      <c r="D2" s="16"/>
      <c r="E2" s="16"/>
      <c r="F2" s="16"/>
      <c r="G2" s="16"/>
      <c r="H2" s="16"/>
    </row>
    <row r="3" spans="1:9" x14ac:dyDescent="0.25">
      <c r="A3" s="28" t="s">
        <v>126</v>
      </c>
      <c r="B3" s="26" t="s">
        <v>149</v>
      </c>
      <c r="C3" s="27" t="s">
        <v>127</v>
      </c>
      <c r="D3" s="25"/>
      <c r="E3" s="26" t="s">
        <v>45</v>
      </c>
      <c r="F3" s="4" t="e">
        <f>SUMPRODUCT((INDEX(Rohdaten!$A$2:$GG$19999,,MATCH(C3,Rohdaten!$1:$1,))&amp;""=D3&amp;"")*(Rohdaten!$A$2:$A$19999&lt;&gt;""))</f>
        <v>#N/A</v>
      </c>
      <c r="G3" s="4" t="e">
        <f>IF(MATCH(C3,$C:$C,0)=ROW(C3),SUM(F3:F5),"")</f>
        <v>#N/A</v>
      </c>
    </row>
    <row r="4" spans="1:9" x14ac:dyDescent="0.25">
      <c r="C4" t="s">
        <v>127</v>
      </c>
      <c r="D4" s="3">
        <v>0</v>
      </c>
      <c r="E4" s="2" t="s">
        <v>46</v>
      </c>
      <c r="F4" s="4" t="e">
        <f>SUMPRODUCT((INDEX(Rohdaten!$A$2:$GG$19999,,MATCH(C4,Rohdaten!$1:$1,))&amp;""=D4&amp;"")*(Rohdaten!$A$2:$A$19999&lt;&gt;""))</f>
        <v>#N/A</v>
      </c>
      <c r="G4" s="4" t="str">
        <f>IF(MATCH(C4,$C:$C,0)=ROW(C4),SUM(F4:F6),"")</f>
        <v/>
      </c>
    </row>
    <row r="5" spans="1:9" x14ac:dyDescent="0.25">
      <c r="C5" t="s">
        <v>127</v>
      </c>
      <c r="D5" s="3">
        <v>1</v>
      </c>
      <c r="E5" s="2" t="s">
        <v>47</v>
      </c>
      <c r="F5" s="4" t="e">
        <f>SUMPRODUCT((INDEX(Rohdaten!$A$2:$GG$19999,,MATCH(C5,Rohdaten!$1:$1,))&amp;""=D5&amp;"")*(Rohdaten!$A$2:$A$19999&lt;&gt;""))</f>
        <v>#N/A</v>
      </c>
      <c r="G5" s="4" t="str">
        <f>IF(MATCH(C5,$C:$C,0)=ROW(C5),SUM(F5:F7),"")</f>
        <v/>
      </c>
    </row>
    <row r="6" spans="1:9" x14ac:dyDescent="0.25">
      <c r="A6" s="28" t="s">
        <v>157</v>
      </c>
      <c r="B6" s="26" t="s">
        <v>157</v>
      </c>
      <c r="C6" s="27" t="s">
        <v>226</v>
      </c>
      <c r="D6" s="25"/>
      <c r="E6" s="26" t="s">
        <v>45</v>
      </c>
      <c r="F6" s="4" t="e">
        <f>SUMPRODUCT((INDEX(Rohdaten!$A$2:$GG$19999,,MATCH(C6,Rohdaten!$1:$1,))&amp;""=D6&amp;"")*(Rohdaten!$A$2:$A$19999&lt;&gt;""))</f>
        <v>#N/A</v>
      </c>
      <c r="G6" s="4" t="e">
        <f>IF(MATCH(C6,$C:$C,0)=ROW(C6),SUM(F6:F11),"")</f>
        <v>#N/A</v>
      </c>
      <c r="I6" t="s">
        <v>360</v>
      </c>
    </row>
    <row r="7" spans="1:9" x14ac:dyDescent="0.25">
      <c r="C7" t="s">
        <v>226</v>
      </c>
      <c r="D7" s="3">
        <v>0</v>
      </c>
      <c r="E7" s="2" t="s">
        <v>153</v>
      </c>
      <c r="F7" s="4" t="e">
        <f>SUMPRODUCT((INDEX(Rohdaten!$A$2:$GG$19999,,MATCH(C7,Rohdaten!$1:$1,))&amp;""=D7&amp;"")*(INDEX(Rohdaten!$A$2:$GG$19999,,MATCH("year_of_entry",Rohdaten!$1:$1,))&lt;=2018))</f>
        <v>#N/A</v>
      </c>
      <c r="G7" s="4" t="str">
        <f>IF(MATCH(C7,$C:$C,0)=ROW(C7),SUM(F7:F9),"")</f>
        <v/>
      </c>
    </row>
    <row r="8" spans="1:9" x14ac:dyDescent="0.25">
      <c r="C8" t="s">
        <v>226</v>
      </c>
      <c r="D8" s="3">
        <v>1</v>
      </c>
      <c r="E8" s="2" t="s">
        <v>154</v>
      </c>
      <c r="F8" s="4" t="e">
        <f>SUMPRODUCT((INDEX(Rohdaten!$A$2:$GG$19999,,MATCH(C8,Rohdaten!$1:$1,))&amp;""=D8&amp;"")*(INDEX(Rohdaten!$A$2:$GG$19999,,MATCH("year_of_entry",Rohdaten!$1:$1,))&lt;=2018))</f>
        <v>#N/A</v>
      </c>
      <c r="G8" s="4" t="str">
        <f>IF(MATCH(C8,$C:$C,0)=ROW(C8),SUM(F8:F10),"")</f>
        <v/>
      </c>
    </row>
    <row r="9" spans="1:9" x14ac:dyDescent="0.25">
      <c r="A9" s="3"/>
      <c r="B9" s="3"/>
      <c r="C9" s="50" t="s">
        <v>226</v>
      </c>
      <c r="D9" s="3">
        <v>2</v>
      </c>
      <c r="E9" s="50" t="s">
        <v>155</v>
      </c>
      <c r="F9" s="4" t="e">
        <f>SUMPRODUCT((INDEX(Rohdaten!$A$2:$GG$19999,,MATCH(C9,Rohdaten!$1:$1,))&amp;""=D9&amp;"")*(INDEX(Rohdaten!$A$2:$GG$19999,,MATCH("year_of_entry",Rohdaten!$1:$1,))&lt;=2018))</f>
        <v>#N/A</v>
      </c>
      <c r="G9" s="4" t="str">
        <f>IF(MATCH(C9,$C:$C,0)=ROW(C9),SUM(F9:F15),"")</f>
        <v/>
      </c>
    </row>
    <row r="10" spans="1:9" x14ac:dyDescent="0.25">
      <c r="A10" s="3"/>
      <c r="B10" s="3"/>
      <c r="C10" s="50" t="s">
        <v>226</v>
      </c>
      <c r="D10" s="3">
        <v>3</v>
      </c>
      <c r="E10" s="50" t="s">
        <v>156</v>
      </c>
      <c r="F10" s="4" t="e">
        <f>SUMPRODUCT((INDEX(Rohdaten!$A$2:$GG$19999,,MATCH(C10,Rohdaten!$1:$1,))&amp;""=D10&amp;"")*(INDEX(Rohdaten!$A$2:$GG$19999,,MATCH("year_of_entry",Rohdaten!$1:$1,))&lt;=2018))</f>
        <v>#N/A</v>
      </c>
      <c r="G10" s="4" t="str">
        <f>IF(MATCH(C10,$C:$C,0)=ROW(C10),SUM(F10:F16),"")</f>
        <v/>
      </c>
    </row>
    <row r="11" spans="1:9" x14ac:dyDescent="0.25">
      <c r="A11" s="3"/>
      <c r="B11" s="3"/>
      <c r="C11" s="50" t="s">
        <v>226</v>
      </c>
      <c r="D11" s="3"/>
      <c r="E11" s="74" t="s">
        <v>419</v>
      </c>
      <c r="F11" s="4" t="e">
        <f>SUMPRODUCT((INDEX(Rohdaten!$A$2:$GG$19999,,MATCH(C11,Rohdaten!$1:$1,))&lt;&gt;"")*(INDEX(Rohdaten!$A$2:$GG$19999,,MATCH("year_of_entry",Rohdaten!$1:$1,))&gt;2018))</f>
        <v>#N/A</v>
      </c>
      <c r="G11" s="4"/>
    </row>
    <row r="12" spans="1:9" x14ac:dyDescent="0.25">
      <c r="A12" s="26" t="s">
        <v>286</v>
      </c>
      <c r="B12" s="26" t="s">
        <v>339</v>
      </c>
      <c r="C12" s="27" t="s">
        <v>340</v>
      </c>
      <c r="D12" s="25"/>
      <c r="E12" s="26" t="s">
        <v>45</v>
      </c>
      <c r="F12" s="4" t="e">
        <f>SUMPRODUCT((INDEX(Rohdaten!$A$2:$GG$19999,,MATCH(C12,Rohdaten!$1:$1,))&amp;""=D12&amp;"")*(Rohdaten!$A$2:$A$19999&lt;&gt;""))</f>
        <v>#N/A</v>
      </c>
      <c r="G12" s="4" t="e">
        <f t="shared" ref="G12:G17" si="0">IF(MATCH(C12,$C:$C,0)=ROW(C12),SUM(F12:F14),"")</f>
        <v>#N/A</v>
      </c>
    </row>
    <row r="13" spans="1:9" x14ac:dyDescent="0.25">
      <c r="A13" s="3"/>
      <c r="B13" s="3"/>
      <c r="C13" t="s">
        <v>340</v>
      </c>
      <c r="D13" s="3">
        <v>0</v>
      </c>
      <c r="E13" s="2" t="s">
        <v>46</v>
      </c>
      <c r="F13" s="4" t="e">
        <f>SUMPRODUCT((INDEX(Rohdaten!$A$2:$GG$19999,,MATCH(C13,Rohdaten!$1:$1,))&amp;""=D13&amp;"")*(Rohdaten!$A$2:$A$19999&lt;&gt;""))</f>
        <v>#N/A</v>
      </c>
      <c r="G13" s="4" t="str">
        <f t="shared" si="0"/>
        <v/>
      </c>
    </row>
    <row r="14" spans="1:9" x14ac:dyDescent="0.25">
      <c r="A14" s="3"/>
      <c r="B14" s="3"/>
      <c r="C14" t="s">
        <v>340</v>
      </c>
      <c r="D14" s="3">
        <v>1</v>
      </c>
      <c r="E14" s="2" t="s">
        <v>47</v>
      </c>
      <c r="F14" s="4" t="e">
        <f>SUMPRODUCT((INDEX(Rohdaten!$A$2:$GG$19999,,MATCH(C14,Rohdaten!$1:$1,))&amp;""=D14&amp;"")*(Rohdaten!$A$2:$A$19999&lt;&gt;""))</f>
        <v>#N/A</v>
      </c>
      <c r="G14" s="4" t="str">
        <f t="shared" si="0"/>
        <v/>
      </c>
    </row>
    <row r="15" spans="1:9" x14ac:dyDescent="0.25">
      <c r="A15" s="28" t="s">
        <v>158</v>
      </c>
      <c r="B15" s="26" t="s">
        <v>159</v>
      </c>
      <c r="C15" s="27" t="s">
        <v>227</v>
      </c>
      <c r="D15" s="25"/>
      <c r="E15" s="26" t="s">
        <v>45</v>
      </c>
      <c r="F15" s="4" t="e">
        <f>SUMPRODUCT((INDEX(Rohdaten!$A$2:$GG$19999,,MATCH(C15,Rohdaten!$1:$1,))&amp;""=D15&amp;"")*(Rohdaten!$A$2:$A$19999&lt;&gt;""))</f>
        <v>#N/A</v>
      </c>
      <c r="G15" s="4" t="e">
        <f t="shared" si="0"/>
        <v>#N/A</v>
      </c>
    </row>
    <row r="16" spans="1:9" x14ac:dyDescent="0.25">
      <c r="C16" t="s">
        <v>227</v>
      </c>
      <c r="D16" s="3">
        <v>0</v>
      </c>
      <c r="E16" s="2" t="s">
        <v>46</v>
      </c>
      <c r="F16" s="4" t="e">
        <f>SUMPRODUCT((INDEX(Rohdaten!$A$2:$GG$19999,,MATCH(C16,Rohdaten!$1:$1,))&amp;""=D16&amp;"")*(Rohdaten!$A$2:$A$19999&lt;&gt;""))</f>
        <v>#N/A</v>
      </c>
      <c r="G16" s="4" t="str">
        <f t="shared" si="0"/>
        <v/>
      </c>
    </row>
    <row r="17" spans="1:9" x14ac:dyDescent="0.25">
      <c r="C17" t="s">
        <v>227</v>
      </c>
      <c r="D17" s="3">
        <v>1</v>
      </c>
      <c r="E17" s="2" t="s">
        <v>47</v>
      </c>
      <c r="F17" s="4" t="e">
        <f>SUMPRODUCT((INDEX(Rohdaten!$A$2:$GG$19999,,MATCH(C17,Rohdaten!$1:$1,))&amp;""=D17&amp;"")*(Rohdaten!$A$2:$A$19999&lt;&gt;""))</f>
        <v>#N/A</v>
      </c>
      <c r="G17" s="4" t="str">
        <f t="shared" si="0"/>
        <v/>
      </c>
    </row>
    <row r="18" spans="1:9" x14ac:dyDescent="0.25">
      <c r="A18" s="28" t="s">
        <v>160</v>
      </c>
      <c r="B18" s="26" t="s">
        <v>161</v>
      </c>
      <c r="C18" s="27" t="s">
        <v>228</v>
      </c>
      <c r="D18" s="25"/>
      <c r="E18" s="26" t="s">
        <v>45</v>
      </c>
      <c r="F18" s="4" t="e">
        <f>SUMPRODUCT((INDEX(Rohdaten!$A$2:$GG$19999,,MATCH(C18,Rohdaten!$1:$1,))&amp;""=D18&amp;"")*(Rohdaten!$A$2:$A$19999&lt;&gt;""))</f>
        <v>#N/A</v>
      </c>
      <c r="G18" s="4" t="e">
        <f>IF(MATCH(C18,$C:$C,0)=ROW(C18),SUM(F18:F22),"")</f>
        <v>#N/A</v>
      </c>
      <c r="I18" s="17" t="s">
        <v>360</v>
      </c>
    </row>
    <row r="19" spans="1:9" x14ac:dyDescent="0.25">
      <c r="C19" t="s">
        <v>228</v>
      </c>
      <c r="D19" s="3">
        <v>0</v>
      </c>
      <c r="E19" s="2" t="s">
        <v>46</v>
      </c>
      <c r="F19" s="4" t="e">
        <f>SUMPRODUCT((INDEX(Rohdaten!$A$2:$GG$19999,,MATCH(C19,Rohdaten!$1:$1,))&amp;""=D19&amp;"")*(Rohdaten!$A$2:$A$19999&lt;&gt;""))</f>
        <v>#N/A</v>
      </c>
      <c r="G19" s="4" t="str">
        <f>IF(MATCH(C19,$C:$C,0)=ROW(C19),SUM(F19:F21),"")</f>
        <v/>
      </c>
    </row>
    <row r="20" spans="1:9" x14ac:dyDescent="0.25">
      <c r="C20" t="s">
        <v>228</v>
      </c>
      <c r="D20" s="3">
        <v>1</v>
      </c>
      <c r="E20" s="2" t="s">
        <v>47</v>
      </c>
      <c r="F20" s="4" t="e">
        <f>SUMPRODUCT((INDEX(Rohdaten!$A$2:$GG$19999,,MATCH(C20,Rohdaten!$1:$1,))&amp;""=D20&amp;"")*(Rohdaten!$A$2:$A$19999&lt;&gt;""))</f>
        <v>#N/A</v>
      </c>
      <c r="G20" s="4" t="str">
        <f>IF(MATCH(C20,$C:$C,0)=ROW(C20),SUM(F20:F22),"")</f>
        <v/>
      </c>
    </row>
    <row r="21" spans="1:9" x14ac:dyDescent="0.25">
      <c r="A21" s="3"/>
      <c r="B21" s="3"/>
      <c r="C21" s="50" t="s">
        <v>228</v>
      </c>
      <c r="D21" s="3">
        <v>2</v>
      </c>
      <c r="E21" s="50" t="s">
        <v>162</v>
      </c>
      <c r="F21" s="4" t="e">
        <f>SUMPRODUCT((INDEX(Rohdaten!$A$2:$GG$19999,,MATCH(C21,Rohdaten!$1:$1,))&amp;""=D21&amp;"")*(Rohdaten!$A$2:$A$19999&lt;&gt;""))</f>
        <v>#N/A</v>
      </c>
      <c r="G21" s="4" t="str">
        <f>IF(MATCH(C21,$C:$C,0)=ROW(C21),SUM(F21:F23),"")</f>
        <v/>
      </c>
    </row>
    <row r="22" spans="1:9" x14ac:dyDescent="0.25">
      <c r="A22" s="3"/>
      <c r="B22" s="3"/>
      <c r="C22" s="50" t="s">
        <v>228</v>
      </c>
      <c r="D22" s="3">
        <v>3</v>
      </c>
      <c r="E22" s="50" t="s">
        <v>163</v>
      </c>
      <c r="F22" s="4" t="e">
        <f>SUMPRODUCT((INDEX(Rohdaten!$A$2:$GG$19999,,MATCH(C22,Rohdaten!$1:$1,))&amp;""=D22&amp;"")*(Rohdaten!$A$2:$A$19999&lt;&gt;""))</f>
        <v>#N/A</v>
      </c>
      <c r="G22" s="4" t="str">
        <f>IF(MATCH(C22,$C:$C,0)=ROW(C22),SUM(F22:F24),"")</f>
        <v/>
      </c>
    </row>
    <row r="23" spans="1:9" x14ac:dyDescent="0.25">
      <c r="A23" s="28" t="s">
        <v>160</v>
      </c>
      <c r="B23" s="26" t="s">
        <v>413</v>
      </c>
      <c r="C23" s="27" t="s">
        <v>229</v>
      </c>
      <c r="D23" s="25"/>
      <c r="E23" s="26" t="s">
        <v>45</v>
      </c>
      <c r="F23" s="4" t="e">
        <f>SUMPRODUCT((INDEX(Rohdaten!$A$2:$GG$19999,,MATCH(C23,Rohdaten!$1:$1,))&amp;""=D23&amp;"")*(Rohdaten!$A$2:$A$19999&lt;&gt;""))</f>
        <v>#N/A</v>
      </c>
      <c r="G23" s="4" t="e">
        <f>IF(MATCH(C23,$C:$C,0)=ROW(C23),SUM(F23:F26),"")</f>
        <v>#N/A</v>
      </c>
      <c r="H23" t="e">
        <f>CONCATENATE("[Filter]: TN in Elternzeit (n=",$F$20,")")</f>
        <v>#N/A</v>
      </c>
    </row>
    <row r="24" spans="1:9" x14ac:dyDescent="0.25">
      <c r="C24" t="s">
        <v>229</v>
      </c>
      <c r="D24" s="3">
        <v>0</v>
      </c>
      <c r="E24" s="2" t="s">
        <v>162</v>
      </c>
      <c r="F24" s="4" t="e">
        <f>SUMPRODUCT((INDEX(Rohdaten!$A$2:$GG$19999,,MATCH(C24,Rohdaten!$1:$1,))&amp;""=D24&amp;"")*(INDEX(Rohdaten!$A$2:$GG$19999,,MATCH(C20,Rohdaten!$1:$1,))&amp;""=D20&amp;""))</f>
        <v>#N/A</v>
      </c>
      <c r="G24" s="4" t="str">
        <f t="shared" ref="G24:G35" si="1">IF(MATCH(C24,$C:$C,0)=ROW(C24),SUM(F24:F26),"")</f>
        <v/>
      </c>
    </row>
    <row r="25" spans="1:9" x14ac:dyDescent="0.25">
      <c r="C25" t="s">
        <v>229</v>
      </c>
      <c r="D25" s="3">
        <v>1</v>
      </c>
      <c r="E25" s="2" t="s">
        <v>164</v>
      </c>
      <c r="F25" s="4" t="e">
        <f>SUMPRODUCT((INDEX(Rohdaten!$A$2:$GG$19999,,MATCH(C25,Rohdaten!$1:$1,))&amp;""=D25&amp;"")*(Rohdaten!$A$2:$A$19999&lt;&gt;""))</f>
        <v>#N/A</v>
      </c>
      <c r="G25" s="4" t="str">
        <f t="shared" si="1"/>
        <v/>
      </c>
    </row>
    <row r="26" spans="1:9" x14ac:dyDescent="0.25">
      <c r="A26" s="3"/>
      <c r="B26" s="3"/>
      <c r="C26" s="50" t="s">
        <v>229</v>
      </c>
      <c r="D26" s="3">
        <v>2</v>
      </c>
      <c r="E26" s="50" t="s">
        <v>165</v>
      </c>
      <c r="F26" s="4" t="e">
        <f>SUMPRODUCT((INDEX(Rohdaten!$A$2:$GG$19999,,MATCH(C26,Rohdaten!$1:$1,))&amp;""=D26&amp;"")*(Rohdaten!$A$2:$A$19999&lt;&gt;""))</f>
        <v>#N/A</v>
      </c>
      <c r="G26" s="4" t="str">
        <f t="shared" si="1"/>
        <v/>
      </c>
    </row>
    <row r="27" spans="1:9" s="17" customFormat="1" x14ac:dyDescent="0.25">
      <c r="A27" s="66" t="s">
        <v>166</v>
      </c>
      <c r="B27" s="67" t="s">
        <v>167</v>
      </c>
      <c r="C27" s="58" t="s">
        <v>230</v>
      </c>
      <c r="D27" s="68"/>
      <c r="E27" s="67" t="s">
        <v>45</v>
      </c>
      <c r="F27" s="36" t="e">
        <f>SUMPRODUCT((INDEX(Rohdaten!$A$2:$GG$19999,,MATCH(C27,Rohdaten!$1:$1,))&amp;""=D27&amp;"")*(Rohdaten!$A$2:$A$19999&lt;&gt;""))</f>
        <v>#N/A</v>
      </c>
      <c r="G27" s="36" t="e">
        <f t="shared" si="1"/>
        <v>#N/A</v>
      </c>
      <c r="I27" s="17" t="s">
        <v>360</v>
      </c>
    </row>
    <row r="28" spans="1:9" s="17" customFormat="1" x14ac:dyDescent="0.25">
      <c r="A28" s="69"/>
      <c r="B28" s="70"/>
      <c r="C28" s="17" t="s">
        <v>230</v>
      </c>
      <c r="D28" s="71">
        <v>0</v>
      </c>
      <c r="E28" s="70" t="s">
        <v>46</v>
      </c>
      <c r="F28" s="36" t="e">
        <f>SUMPRODUCT((INDEX(Rohdaten!$A$2:$GG$19999,,MATCH(C28,Rohdaten!$1:$1,))&amp;""=D28&amp;"")*(Rohdaten!$A$2:$A$19999&lt;&gt;""))</f>
        <v>#N/A</v>
      </c>
      <c r="G28" s="36" t="str">
        <f t="shared" si="1"/>
        <v/>
      </c>
    </row>
    <row r="29" spans="1:9" s="17" customFormat="1" x14ac:dyDescent="0.25">
      <c r="A29" s="69"/>
      <c r="B29" s="70"/>
      <c r="C29" s="17" t="s">
        <v>230</v>
      </c>
      <c r="D29" s="71">
        <v>1</v>
      </c>
      <c r="E29" s="70" t="s">
        <v>47</v>
      </c>
      <c r="F29" s="36" t="e">
        <f>SUMPRODUCT((INDEX(Rohdaten!$A$2:$GG$19999,,MATCH(C29,Rohdaten!$1:$1,))&amp;""=D29&amp;"")*(Rohdaten!$A$2:$A$19999&lt;&gt;""))</f>
        <v>#N/A</v>
      </c>
      <c r="G29" s="36" t="str">
        <f t="shared" si="1"/>
        <v/>
      </c>
    </row>
    <row r="30" spans="1:9" x14ac:dyDescent="0.25">
      <c r="A30" s="28" t="s">
        <v>168</v>
      </c>
      <c r="B30" s="26" t="s">
        <v>245</v>
      </c>
      <c r="C30" s="27" t="s">
        <v>309</v>
      </c>
      <c r="D30" s="25"/>
      <c r="E30" s="26" t="s">
        <v>45</v>
      </c>
      <c r="F30" s="4" t="e">
        <f>SUMPRODUCT((INDEX(Rohdaten!$A$2:$GG$19999,,MATCH(C30,Rohdaten!$1:$1,))&amp;""=D30&amp;"")*(Rohdaten!$A$2:$A$19999&lt;&gt;""))</f>
        <v>#N/A</v>
      </c>
      <c r="G30" s="4" t="e">
        <f t="shared" si="1"/>
        <v>#N/A</v>
      </c>
      <c r="H30" t="s">
        <v>243</v>
      </c>
    </row>
    <row r="31" spans="1:9" x14ac:dyDescent="0.25">
      <c r="C31" t="s">
        <v>309</v>
      </c>
      <c r="D31" s="3">
        <v>0</v>
      </c>
      <c r="E31" s="2" t="s">
        <v>46</v>
      </c>
      <c r="F31" s="4" t="e">
        <f>SUMPRODUCT((INDEX(Rohdaten!$A$2:$GG$19999,,MATCH(C31,Rohdaten!$1:$1,))&amp;""=D31&amp;"")*(Rohdaten!$A$2:$A$19999&lt;&gt;""))</f>
        <v>#N/A</v>
      </c>
      <c r="G31" s="4" t="str">
        <f t="shared" si="1"/>
        <v/>
      </c>
    </row>
    <row r="32" spans="1:9" x14ac:dyDescent="0.25">
      <c r="C32" t="s">
        <v>309</v>
      </c>
      <c r="D32" s="3">
        <v>1</v>
      </c>
      <c r="E32" s="2" t="s">
        <v>47</v>
      </c>
      <c r="F32" s="4" t="e">
        <f>SUMPRODUCT((INDEX(Rohdaten!$A$2:$GG$19999,,MATCH(C32,Rohdaten!$1:$1,))&amp;""=D32&amp;"")*(Rohdaten!$A$2:$A$19999&lt;&gt;""))</f>
        <v>#N/A</v>
      </c>
      <c r="G32" s="4" t="str">
        <f t="shared" si="1"/>
        <v/>
      </c>
    </row>
    <row r="33" spans="1:9" x14ac:dyDescent="0.25">
      <c r="A33" s="66" t="s">
        <v>168</v>
      </c>
      <c r="B33" s="67" t="s">
        <v>246</v>
      </c>
      <c r="C33" s="58" t="s">
        <v>310</v>
      </c>
      <c r="D33" s="68"/>
      <c r="E33" s="67" t="s">
        <v>45</v>
      </c>
      <c r="F33" s="36" t="e">
        <f>SUMPRODUCT((INDEX(Rohdaten!$A$2:$GG$19999,,MATCH(C33,Rohdaten!$1:$1,))&amp;""=D33&amp;"")*(Rohdaten!$A$2:$A$19999&lt;&gt;""))</f>
        <v>#N/A</v>
      </c>
      <c r="G33" s="36" t="e">
        <f t="shared" si="1"/>
        <v>#N/A</v>
      </c>
      <c r="H33" s="72" t="s">
        <v>244</v>
      </c>
      <c r="I33" s="17" t="s">
        <v>360</v>
      </c>
    </row>
    <row r="34" spans="1:9" x14ac:dyDescent="0.25">
      <c r="A34" s="69"/>
      <c r="B34" s="70"/>
      <c r="C34" s="17" t="s">
        <v>310</v>
      </c>
      <c r="D34" s="71">
        <v>0</v>
      </c>
      <c r="E34" s="70" t="s">
        <v>46</v>
      </c>
      <c r="F34" s="36" t="e">
        <f>SUMPRODUCT((INDEX(Rohdaten!$A$2:$GG$19999,,MATCH(C34,Rohdaten!$1:$1,))&amp;""=D34&amp;"")*(Rohdaten!$A$2:$A$19999&lt;&gt;""))</f>
        <v>#N/A</v>
      </c>
      <c r="G34" s="36" t="str">
        <f t="shared" si="1"/>
        <v/>
      </c>
      <c r="H34" s="17"/>
    </row>
    <row r="35" spans="1:9" x14ac:dyDescent="0.25">
      <c r="A35" s="69"/>
      <c r="B35" s="70"/>
      <c r="C35" s="17" t="s">
        <v>310</v>
      </c>
      <c r="D35" s="71">
        <v>1</v>
      </c>
      <c r="E35" s="70" t="s">
        <v>47</v>
      </c>
      <c r="F35" s="36" t="e">
        <f>SUMPRODUCT((INDEX(Rohdaten!$A$2:$GG$19999,,MATCH(C35,Rohdaten!$1:$1,))&amp;""=D35&amp;"")*(Rohdaten!$A$2:$A$19999&lt;&gt;""))</f>
        <v>#N/A</v>
      </c>
      <c r="G35" s="36" t="str">
        <f t="shared" si="1"/>
        <v/>
      </c>
      <c r="H35" s="17"/>
    </row>
    <row r="36" spans="1:9" x14ac:dyDescent="0.25">
      <c r="A36" s="28" t="s">
        <v>169</v>
      </c>
      <c r="B36" s="26" t="s">
        <v>170</v>
      </c>
      <c r="C36" s="27" t="s">
        <v>231</v>
      </c>
      <c r="D36" s="25"/>
      <c r="E36" s="26" t="s">
        <v>45</v>
      </c>
      <c r="F36" s="4" t="e">
        <f>SUMPRODUCT((INDEX(Rohdaten!$A$2:$GG$19999,,MATCH(C36,Rohdaten!$1:$1,))&amp;""=D36&amp;"")*(Rohdaten!$A$2:$A$19999&lt;&gt;""))</f>
        <v>#N/A</v>
      </c>
      <c r="G36" s="4" t="e">
        <f>IF(MATCH(C36,$C:$C,0)=ROW(C36),SUM(F36:F41),"")</f>
        <v>#N/A</v>
      </c>
    </row>
    <row r="37" spans="1:9" x14ac:dyDescent="0.25">
      <c r="C37" t="s">
        <v>231</v>
      </c>
      <c r="D37" s="3">
        <v>1</v>
      </c>
      <c r="E37" s="2" t="s">
        <v>171</v>
      </c>
      <c r="F37" s="4" t="e">
        <f>SUMPRODUCT((INDEX(Rohdaten!$A$2:$GG$19999,,MATCH(C37,Rohdaten!$1:$1,))&amp;""=D37&amp;"")*(Rohdaten!$A$2:$A$19999&lt;&gt;""))</f>
        <v>#N/A</v>
      </c>
      <c r="G37" s="4" t="str">
        <f>IF(MATCH(C37,$C:$C,0)=ROW(C37),SUM(F37:F39),"")</f>
        <v/>
      </c>
    </row>
    <row r="38" spans="1:9" x14ac:dyDescent="0.25">
      <c r="C38" t="s">
        <v>231</v>
      </c>
      <c r="D38" s="3">
        <v>2</v>
      </c>
      <c r="E38" s="2" t="s">
        <v>172</v>
      </c>
      <c r="F38" s="4" t="e">
        <f>SUMPRODUCT((INDEX(Rohdaten!$A$2:$GG$19999,,MATCH(C38,Rohdaten!$1:$1,))&amp;""=D38&amp;"")*(Rohdaten!$A$2:$A$19999&lt;&gt;""))</f>
        <v>#N/A</v>
      </c>
      <c r="G38" s="4" t="str">
        <f>IF(MATCH(C38,$C:$C,0)=ROW(C38),SUM(F38:F40),"")</f>
        <v/>
      </c>
    </row>
    <row r="39" spans="1:9" x14ac:dyDescent="0.25">
      <c r="A39" s="3"/>
      <c r="B39" s="3"/>
      <c r="C39" s="50" t="s">
        <v>231</v>
      </c>
      <c r="D39" s="3">
        <v>3</v>
      </c>
      <c r="E39" s="50" t="s">
        <v>173</v>
      </c>
      <c r="F39" s="4" t="e">
        <f>SUMPRODUCT((INDEX(Rohdaten!$A$2:$GG$19999,,MATCH(C39,Rohdaten!$1:$1,))&amp;""=D39&amp;"")*(Rohdaten!$A$2:$A$19999&lt;&gt;""))</f>
        <v>#N/A</v>
      </c>
      <c r="G39" s="4" t="str">
        <f>IF(MATCH(C39,$C:$C,0)=ROW(C39),SUM(F39:F41),"")</f>
        <v/>
      </c>
    </row>
    <row r="40" spans="1:9" x14ac:dyDescent="0.25">
      <c r="A40" s="3"/>
      <c r="B40" s="3"/>
      <c r="C40" s="50" t="s">
        <v>231</v>
      </c>
      <c r="D40" s="3">
        <v>4</v>
      </c>
      <c r="E40" s="50" t="s">
        <v>174</v>
      </c>
      <c r="F40" s="4" t="e">
        <f>SUMPRODUCT((INDEX(Rohdaten!$A$2:$GG$19999,,MATCH(C40,Rohdaten!$1:$1,))&amp;""=D40&amp;"")*(Rohdaten!$A$2:$A$19999&lt;&gt;""))</f>
        <v>#N/A</v>
      </c>
      <c r="G40" s="4" t="str">
        <f>IF(MATCH(C40,$C:$C,0)=ROW(C40),SUM(F40:F42),"")</f>
        <v/>
      </c>
    </row>
    <row r="41" spans="1:9" x14ac:dyDescent="0.25">
      <c r="A41" s="52"/>
      <c r="B41" s="52"/>
      <c r="C41" s="51" t="s">
        <v>231</v>
      </c>
      <c r="D41" s="52">
        <v>5</v>
      </c>
      <c r="E41" s="53" t="s">
        <v>175</v>
      </c>
      <c r="F41" s="4" t="e">
        <f>SUMPRODUCT((INDEX(Rohdaten!$A$2:$GG$19999,,MATCH(C41,Rohdaten!$1:$1,))&amp;""=D41&amp;"")*(Rohdaten!$A$2:$A$19999&lt;&gt;""))</f>
        <v>#N/A</v>
      </c>
      <c r="G41" s="4" t="str">
        <f>IF(MATCH(C41,$C:$C,0)=ROW(C41),SUM(F41:F43),"")</f>
        <v/>
      </c>
    </row>
    <row r="42" spans="1:9" x14ac:dyDescent="0.25">
      <c r="A42" s="28" t="s">
        <v>169</v>
      </c>
      <c r="B42" s="26" t="s">
        <v>176</v>
      </c>
      <c r="C42" s="27" t="s">
        <v>232</v>
      </c>
      <c r="D42" s="25"/>
      <c r="E42" s="26" t="s">
        <v>45</v>
      </c>
      <c r="F42" s="4" t="e">
        <f>SUMPRODUCT((INDEX(Rohdaten!$A$2:$GG$19999,,MATCH(C42,Rohdaten!$1:$1,))&amp;""=D42&amp;"")*(Rohdaten!$A$2:$A$19999&lt;&gt;""))</f>
        <v>#N/A</v>
      </c>
      <c r="G42" s="4" t="e">
        <f>IF(MATCH(C42,$C:$C,0)=ROW(C42),SUM(F42:F47),"")</f>
        <v>#N/A</v>
      </c>
    </row>
    <row r="43" spans="1:9" x14ac:dyDescent="0.25">
      <c r="C43" t="s">
        <v>232</v>
      </c>
      <c r="D43" s="3">
        <v>1</v>
      </c>
      <c r="E43" s="2" t="s">
        <v>177</v>
      </c>
      <c r="F43" s="4" t="e">
        <f>SUMPRODUCT((INDEX(Rohdaten!$A$2:$GG$19999,,MATCH(C43,Rohdaten!$1:$1,))&amp;""=D43&amp;"")*(Rohdaten!$A$2:$A$19999&lt;&gt;""))</f>
        <v>#N/A</v>
      </c>
      <c r="G43" s="4" t="str">
        <f>IF(MATCH(C43,$C:$C,0)=ROW(C43),SUM(F43:F45),"")</f>
        <v/>
      </c>
    </row>
    <row r="44" spans="1:9" x14ac:dyDescent="0.25">
      <c r="C44" t="s">
        <v>232</v>
      </c>
      <c r="D44" s="3">
        <v>2</v>
      </c>
      <c r="E44" s="2" t="s">
        <v>178</v>
      </c>
      <c r="F44" s="4" t="e">
        <f>SUMPRODUCT((INDEX(Rohdaten!$A$2:$GG$19999,,MATCH(C44,Rohdaten!$1:$1,))&amp;""=D44&amp;"")*(Rohdaten!$A$2:$A$19999&lt;&gt;""))</f>
        <v>#N/A</v>
      </c>
      <c r="G44" s="4" t="str">
        <f>IF(MATCH(C44,$C:$C,0)=ROW(C44),SUM(F44:F46),"")</f>
        <v/>
      </c>
    </row>
    <row r="45" spans="1:9" x14ac:dyDescent="0.25">
      <c r="A45" s="3"/>
      <c r="B45" s="3"/>
      <c r="C45" s="50" t="s">
        <v>232</v>
      </c>
      <c r="D45" s="3">
        <v>3</v>
      </c>
      <c r="E45" s="50" t="s">
        <v>179</v>
      </c>
      <c r="F45" s="4" t="e">
        <f>SUMPRODUCT((INDEX(Rohdaten!$A$2:$GG$19999,,MATCH(C45,Rohdaten!$1:$1,))&amp;""=D45&amp;"")*(Rohdaten!$A$2:$A$19999&lt;&gt;""))</f>
        <v>#N/A</v>
      </c>
      <c r="G45" s="4" t="str">
        <f>IF(MATCH(C45,$C:$C,0)=ROW(C45),SUM(F45:F47),"")</f>
        <v/>
      </c>
    </row>
    <row r="46" spans="1:9" x14ac:dyDescent="0.25">
      <c r="A46" s="3"/>
      <c r="B46" s="3"/>
      <c r="C46" s="50" t="s">
        <v>232</v>
      </c>
      <c r="D46" s="3">
        <v>4</v>
      </c>
      <c r="E46" s="50" t="s">
        <v>180</v>
      </c>
      <c r="F46" s="4" t="e">
        <f>SUMPRODUCT((INDEX(Rohdaten!$A$2:$GG$19999,,MATCH(C46,Rohdaten!$1:$1,))&amp;""=D46&amp;"")*(Rohdaten!$A$2:$A$19999&lt;&gt;""))</f>
        <v>#N/A</v>
      </c>
      <c r="G46" s="4" t="str">
        <f>IF(MATCH(C46,$C:$C,0)=ROW(C46),SUM(F46:F48),"")</f>
        <v/>
      </c>
    </row>
    <row r="47" spans="1:9" x14ac:dyDescent="0.25">
      <c r="A47" s="52"/>
      <c r="B47" s="52"/>
      <c r="C47" s="51" t="s">
        <v>232</v>
      </c>
      <c r="D47" s="52">
        <v>5</v>
      </c>
      <c r="E47" s="53" t="s">
        <v>163</v>
      </c>
      <c r="F47" s="4" t="e">
        <f>SUMPRODUCT((INDEX(Rohdaten!$A$2:$GG$19999,,MATCH(C47,Rohdaten!$1:$1,))&amp;""=D47&amp;"")*(Rohdaten!$A$2:$A$19999&lt;&gt;""))</f>
        <v>#N/A</v>
      </c>
      <c r="G47" s="4" t="str">
        <f>IF(MATCH(C47,$C:$C,0)=ROW(C47),SUM(F47:F49),"")</f>
        <v/>
      </c>
    </row>
    <row r="48" spans="1:9" x14ac:dyDescent="0.25">
      <c r="A48" s="28" t="s">
        <v>169</v>
      </c>
      <c r="B48" s="26" t="s">
        <v>154</v>
      </c>
      <c r="C48" s="27" t="s">
        <v>233</v>
      </c>
      <c r="D48" s="25"/>
      <c r="E48" s="26" t="s">
        <v>45</v>
      </c>
      <c r="F48" s="4" t="e">
        <f>SUMPRODUCT((INDEX(Rohdaten!$A$2:$GG$19999,,MATCH(C48,Rohdaten!$1:$1,))&amp;""=D48&amp;"")*(Rohdaten!$A$2:$A$19999&lt;&gt;""))</f>
        <v>#N/A</v>
      </c>
      <c r="G48" s="4" t="e">
        <f>IF(MATCH(C48,$C:$C,0)=ROW(C48),SUM(F48:F52),"")</f>
        <v>#N/A</v>
      </c>
    </row>
    <row r="49" spans="1:8" x14ac:dyDescent="0.25">
      <c r="A49" s="52"/>
      <c r="B49" s="52"/>
      <c r="C49" s="51" t="s">
        <v>233</v>
      </c>
      <c r="D49" s="52">
        <v>1</v>
      </c>
      <c r="E49" s="53" t="s">
        <v>181</v>
      </c>
      <c r="F49" s="4" t="e">
        <f>SUMPRODUCT((INDEX(Rohdaten!$A$2:$GG$19999,,MATCH(C49,Rohdaten!$1:$1,))&amp;""=D49&amp;"")*(Rohdaten!$A$2:$A$19999&lt;&gt;""))</f>
        <v>#N/A</v>
      </c>
      <c r="G49" s="4" t="str">
        <f t="shared" ref="G49:G58" si="2">IF(MATCH(C49,$C:$C,0)=ROW(C49),SUM(F49:F51),"")</f>
        <v/>
      </c>
    </row>
    <row r="50" spans="1:8" x14ac:dyDescent="0.25">
      <c r="A50" s="52"/>
      <c r="B50" s="52"/>
      <c r="C50" s="51" t="s">
        <v>233</v>
      </c>
      <c r="D50" s="52">
        <v>2</v>
      </c>
      <c r="E50" s="53" t="s">
        <v>182</v>
      </c>
      <c r="F50" s="4" t="e">
        <f>SUMPRODUCT((INDEX(Rohdaten!$A$2:$GG$19999,,MATCH(C50,Rohdaten!$1:$1,))&amp;""=D50&amp;"")*(Rohdaten!$A$2:$A$19999&lt;&gt;""))</f>
        <v>#N/A</v>
      </c>
      <c r="G50" s="4" t="str">
        <f t="shared" si="2"/>
        <v/>
      </c>
    </row>
    <row r="51" spans="1:8" x14ac:dyDescent="0.25">
      <c r="A51" s="52"/>
      <c r="B51" s="52"/>
      <c r="C51" s="51" t="s">
        <v>233</v>
      </c>
      <c r="D51" s="52">
        <v>3</v>
      </c>
      <c r="E51" s="53" t="s">
        <v>183</v>
      </c>
      <c r="F51" s="4" t="e">
        <f>SUMPRODUCT((INDEX(Rohdaten!$A$2:$GG$19999,,MATCH(C51,Rohdaten!$1:$1,))&amp;""=D51&amp;"")*(Rohdaten!$A$2:$A$19999&lt;&gt;""))</f>
        <v>#N/A</v>
      </c>
      <c r="G51" s="4" t="str">
        <f t="shared" si="2"/>
        <v/>
      </c>
    </row>
    <row r="52" spans="1:8" x14ac:dyDescent="0.25">
      <c r="A52" s="52"/>
      <c r="B52" s="52"/>
      <c r="C52" s="51" t="s">
        <v>233</v>
      </c>
      <c r="D52" s="52">
        <v>4</v>
      </c>
      <c r="E52" s="53" t="s">
        <v>163</v>
      </c>
      <c r="F52" s="4" t="e">
        <f>SUMPRODUCT(((INDEX(Rohdaten!$A$2:$GG$19999,,MATCH(C52,Rohdaten!$1:$1,))&amp;""=D52&amp;"")+(INDEX(Rohdaten!$A$2:$GG$19999,,MATCH(C52,Rohdaten!$1:$1,))=0))*(Rohdaten!$A$2:$A$19999&lt;&gt;""))</f>
        <v>#N/A</v>
      </c>
      <c r="G52" s="4" t="str">
        <f t="shared" si="2"/>
        <v/>
      </c>
    </row>
    <row r="53" spans="1:8" x14ac:dyDescent="0.25">
      <c r="A53" s="28" t="s">
        <v>169</v>
      </c>
      <c r="B53" s="26" t="s">
        <v>184</v>
      </c>
      <c r="C53" s="27" t="s">
        <v>234</v>
      </c>
      <c r="D53" s="25"/>
      <c r="E53" s="26" t="s">
        <v>45</v>
      </c>
      <c r="F53" s="4" t="e">
        <f>SUMPRODUCT((INDEX(Rohdaten!$A$2:$GG$19999,,MATCH(C53,Rohdaten!$1:$1,))&amp;""=D53&amp;"")*(Rohdaten!$A$2:$A$19999&lt;&gt;""))</f>
        <v>#N/A</v>
      </c>
      <c r="G53" s="4" t="e">
        <f t="shared" si="2"/>
        <v>#N/A</v>
      </c>
      <c r="H53" t="str">
        <f>CONCATENATE("[Filter] Erwerbspause hat stattgefunden: n = ",SUM(K196:K200))</f>
        <v>[Filter] Erwerbspause hat stattgefunden: n = 0</v>
      </c>
    </row>
    <row r="54" spans="1:8" x14ac:dyDescent="0.25">
      <c r="C54" t="s">
        <v>234</v>
      </c>
      <c r="D54" s="3">
        <v>0</v>
      </c>
      <c r="E54" s="2" t="s">
        <v>185</v>
      </c>
      <c r="F54" s="4" t="e">
        <f>SUMPRODUCT((INDEX(Rohdaten!$A$2:$GG$19999,,MATCH(C54,Rohdaten!$1:$1,))&amp;""=D54&amp;"")*(Rohdaten!$A$2:$A$19999&lt;&gt;""))</f>
        <v>#N/A</v>
      </c>
      <c r="G54" s="4" t="str">
        <f t="shared" si="2"/>
        <v/>
      </c>
    </row>
    <row r="55" spans="1:8" x14ac:dyDescent="0.25">
      <c r="C55" t="s">
        <v>234</v>
      </c>
      <c r="D55" s="3">
        <v>1</v>
      </c>
      <c r="E55" s="2" t="s">
        <v>186</v>
      </c>
      <c r="F55" s="4" t="e">
        <f>SUMPRODUCT((INDEX(Rohdaten!$A$2:$GG$19999,,MATCH(C55,Rohdaten!$1:$1,))&amp;""=D55&amp;"")*(Rohdaten!$A$2:$A$19999&lt;&gt;""))</f>
        <v>#N/A</v>
      </c>
      <c r="G55" s="4" t="str">
        <f t="shared" si="2"/>
        <v/>
      </c>
    </row>
    <row r="56" spans="1:8" x14ac:dyDescent="0.25">
      <c r="A56" s="28" t="s">
        <v>169</v>
      </c>
      <c r="B56" s="26" t="s">
        <v>308</v>
      </c>
      <c r="C56" s="27" t="s">
        <v>235</v>
      </c>
      <c r="D56" s="25"/>
      <c r="E56" s="26" t="s">
        <v>45</v>
      </c>
      <c r="F56" s="4" t="e">
        <f>SUMPRODUCT((INDEX(Rohdaten!$A$2:$GG$19999,,MATCH(C56,Rohdaten!$1:$1,))&amp;""=D56&amp;"")*(Rohdaten!$A$2:$A$19999&lt;&gt;""))</f>
        <v>#N/A</v>
      </c>
      <c r="G56" s="4" t="e">
        <f t="shared" si="2"/>
        <v>#N/A</v>
      </c>
    </row>
    <row r="57" spans="1:8" x14ac:dyDescent="0.25">
      <c r="C57" t="s">
        <v>235</v>
      </c>
      <c r="D57" s="3">
        <v>0</v>
      </c>
      <c r="E57" s="2" t="s">
        <v>185</v>
      </c>
      <c r="F57" s="4" t="e">
        <f>SUMPRODUCT((INDEX(Rohdaten!$A$2:$GG$19999,,MATCH(C57,Rohdaten!$1:$1,))&amp;""=D57&amp;"")*(Rohdaten!$A$2:$A$19999&lt;&gt;""))</f>
        <v>#N/A</v>
      </c>
      <c r="G57" s="4" t="str">
        <f t="shared" si="2"/>
        <v/>
      </c>
    </row>
    <row r="58" spans="1:8" x14ac:dyDescent="0.25">
      <c r="C58" t="s">
        <v>235</v>
      </c>
      <c r="D58" s="3">
        <v>1</v>
      </c>
      <c r="E58" s="2" t="s">
        <v>186</v>
      </c>
      <c r="F58" s="4" t="e">
        <f>SUMPRODUCT((INDEX(Rohdaten!$A$2:$GG$19999,,MATCH(C58,Rohdaten!$1:$1,))&amp;""=D58&amp;"")*(Rohdaten!$A$2:$A$19999&lt;&gt;""))</f>
        <v>#N/A</v>
      </c>
      <c r="G58" s="4" t="str">
        <f t="shared" si="2"/>
        <v/>
      </c>
    </row>
    <row r="59" spans="1:8" x14ac:dyDescent="0.25">
      <c r="A59" s="28" t="s">
        <v>187</v>
      </c>
      <c r="B59" s="26" t="s">
        <v>188</v>
      </c>
      <c r="C59" s="27" t="s">
        <v>236</v>
      </c>
      <c r="D59" s="25"/>
      <c r="E59" s="26" t="s">
        <v>45</v>
      </c>
      <c r="F59" s="4" t="e">
        <f>SUMPRODUCT((INDEX(Rohdaten!$A$2:$GG$19999,,MATCH(C59,Rohdaten!$1:$1,))&amp;""=D59&amp;"")*(Rohdaten!$A$2:$A$19999&lt;&gt;""))</f>
        <v>#N/A</v>
      </c>
      <c r="G59" s="4" t="e">
        <f>IF(MATCH(C59,$C:$C,0)=ROW(C59),SUM(F59:F64),"")</f>
        <v>#N/A</v>
      </c>
    </row>
    <row r="60" spans="1:8" x14ac:dyDescent="0.25">
      <c r="C60" t="s">
        <v>236</v>
      </c>
      <c r="D60" s="3">
        <v>1</v>
      </c>
      <c r="E60" s="2" t="s">
        <v>189</v>
      </c>
      <c r="F60" s="4" t="e">
        <f>SUMPRODUCT((INDEX(Rohdaten!$A$2:$GG$19999,,MATCH(C60,Rohdaten!$1:$1,))&amp;""=D60&amp;"")*(Rohdaten!$A$2:$A$19999&lt;&gt;""))</f>
        <v>#N/A</v>
      </c>
      <c r="G60" s="4" t="str">
        <f t="shared" ref="G60:G66" si="3">IF(MATCH(C60,$C:$C,0)=ROW(C60),SUM(F60:F62),"")</f>
        <v/>
      </c>
    </row>
    <row r="61" spans="1:8" x14ac:dyDescent="0.25">
      <c r="C61" t="s">
        <v>236</v>
      </c>
      <c r="D61" s="3">
        <v>2</v>
      </c>
      <c r="E61" s="2" t="s">
        <v>190</v>
      </c>
      <c r="F61" s="4" t="e">
        <f>SUMPRODUCT((INDEX(Rohdaten!$A$2:$GG$19999,,MATCH(C61,Rohdaten!$1:$1,))&amp;""=D61&amp;"")*(Rohdaten!$A$2:$A$19999&lt;&gt;""))</f>
        <v>#N/A</v>
      </c>
      <c r="G61" s="4" t="str">
        <f t="shared" si="3"/>
        <v/>
      </c>
    </row>
    <row r="62" spans="1:8" x14ac:dyDescent="0.25">
      <c r="A62" s="3"/>
      <c r="B62" s="3"/>
      <c r="C62" s="50" t="s">
        <v>236</v>
      </c>
      <c r="D62" s="3">
        <v>3</v>
      </c>
      <c r="E62" s="50" t="s">
        <v>191</v>
      </c>
      <c r="F62" s="4" t="e">
        <f>SUMPRODUCT((INDEX(Rohdaten!$A$2:$GG$19999,,MATCH(C62,Rohdaten!$1:$1,))&amp;""=D62&amp;"")*(Rohdaten!$A$2:$A$19999&lt;&gt;""))</f>
        <v>#N/A</v>
      </c>
      <c r="G62" s="4" t="str">
        <f t="shared" si="3"/>
        <v/>
      </c>
    </row>
    <row r="63" spans="1:8" x14ac:dyDescent="0.25">
      <c r="A63" s="3"/>
      <c r="B63" s="3"/>
      <c r="C63" s="50" t="s">
        <v>236</v>
      </c>
      <c r="D63" s="3">
        <v>4</v>
      </c>
      <c r="E63" s="50" t="s">
        <v>192</v>
      </c>
      <c r="F63" s="4" t="e">
        <f>SUMPRODUCT((INDEX(Rohdaten!$A$2:$GG$19999,,MATCH(C63,Rohdaten!$1:$1,))&amp;""=D63&amp;"")*(Rohdaten!$A$2:$A$19999&lt;&gt;""))</f>
        <v>#N/A</v>
      </c>
      <c r="G63" s="4" t="str">
        <f t="shared" si="3"/>
        <v/>
      </c>
    </row>
    <row r="64" spans="1:8" x14ac:dyDescent="0.25">
      <c r="A64" s="52"/>
      <c r="B64" s="52"/>
      <c r="C64" s="51" t="s">
        <v>236</v>
      </c>
      <c r="D64" s="52">
        <v>5</v>
      </c>
      <c r="E64" s="53" t="s">
        <v>193</v>
      </c>
      <c r="F64" s="4" t="e">
        <f>SUMPRODUCT((INDEX(Rohdaten!$A$2:$GG$19999,,MATCH(C64,Rohdaten!$1:$1,))&amp;""=D64&amp;"")*(Rohdaten!$A$2:$A$19999&lt;&gt;""))</f>
        <v>#N/A</v>
      </c>
      <c r="G64" s="4" t="str">
        <f t="shared" si="3"/>
        <v/>
      </c>
    </row>
    <row r="65" spans="1:9" s="17" customFormat="1" x14ac:dyDescent="0.25">
      <c r="A65" s="66" t="s">
        <v>218</v>
      </c>
      <c r="B65" s="67" t="s">
        <v>219</v>
      </c>
      <c r="C65" s="58" t="s">
        <v>237</v>
      </c>
      <c r="D65" s="68"/>
      <c r="E65" s="67" t="s">
        <v>45</v>
      </c>
      <c r="F65" s="36" t="e">
        <f>SUMPRODUCT((INDEX(Rohdaten!$A$2:$GG$19999,,MATCH(C65,Rohdaten!$1:$1,))&amp;""=D65&amp;"")*(Rohdaten!$A$2:$A$19999&lt;&gt;""))</f>
        <v>#N/A</v>
      </c>
      <c r="G65" s="36" t="e">
        <f t="shared" si="3"/>
        <v>#N/A</v>
      </c>
      <c r="I65" s="17" t="s">
        <v>384</v>
      </c>
    </row>
    <row r="66" spans="1:9" s="17" customFormat="1" x14ac:dyDescent="0.25">
      <c r="A66" s="77"/>
      <c r="B66" s="77"/>
      <c r="C66" s="78" t="s">
        <v>237</v>
      </c>
      <c r="D66" s="77">
        <v>0</v>
      </c>
      <c r="E66" s="79" t="s">
        <v>185</v>
      </c>
      <c r="F66" s="36" t="e">
        <f>SUMPRODUCT((INDEX(Rohdaten!$A$2:$GG$19999,,MATCH(C66,Rohdaten!$1:$1,))&amp;""=D66&amp;"")*(Rohdaten!$A$2:$A$19999&lt;&gt;""))</f>
        <v>#N/A</v>
      </c>
      <c r="G66" s="36" t="str">
        <f t="shared" si="3"/>
        <v/>
      </c>
    </row>
    <row r="67" spans="1:9" s="17" customFormat="1" x14ac:dyDescent="0.25">
      <c r="A67" s="77"/>
      <c r="B67" s="77"/>
      <c r="C67" s="78" t="s">
        <v>237</v>
      </c>
      <c r="D67" s="77">
        <v>1</v>
      </c>
      <c r="E67" s="79" t="s">
        <v>186</v>
      </c>
      <c r="F67" s="36" t="e">
        <f>SUMPRODUCT((INDEX(Rohdaten!$A$2:$GG$19999,,MATCH(C67,Rohdaten!$1:$1,))&amp;""=D67&amp;"")*(Rohdaten!$A$2:$A$19999&lt;&gt;""))</f>
        <v>#N/A</v>
      </c>
      <c r="G67" s="36" t="str">
        <f>IF(MATCH(C67,$C:$C,0)=ROW(C67),SUM(F67:F70),"")</f>
        <v/>
      </c>
    </row>
    <row r="68" spans="1:9" s="17" customFormat="1" x14ac:dyDescent="0.25">
      <c r="A68" s="66" t="s">
        <v>218</v>
      </c>
      <c r="B68" s="67" t="s">
        <v>220</v>
      </c>
      <c r="C68" s="58" t="s">
        <v>238</v>
      </c>
      <c r="D68" s="68"/>
      <c r="E68" s="67" t="s">
        <v>45</v>
      </c>
      <c r="F68" s="36" t="e">
        <f>SUMPRODUCT((INDEX(Rohdaten!$A$2:$GG$19999,,MATCH(C68,Rohdaten!$1:$1,))&amp;""=D68&amp;"")*(Rohdaten!$A$2:$A$19999&lt;&gt;""))</f>
        <v>#N/A</v>
      </c>
      <c r="G68" s="36" t="e">
        <f>IF(MATCH(C68,$C:$C,0)=ROW(C68),SUM(F68:F72),"")</f>
        <v>#N/A</v>
      </c>
      <c r="H68" s="17" t="str">
        <f>CONCATENATE("[Filter] Wenn HDL nicht beansprucht: n= ",K66)</f>
        <v xml:space="preserve">[Filter] Wenn HDL nicht beansprucht: n= </v>
      </c>
      <c r="I68" s="17" t="s">
        <v>384</v>
      </c>
    </row>
    <row r="69" spans="1:9" s="17" customFormat="1" x14ac:dyDescent="0.25">
      <c r="C69" s="78" t="s">
        <v>238</v>
      </c>
      <c r="D69" s="77">
        <v>0</v>
      </c>
      <c r="E69" s="79" t="s">
        <v>333</v>
      </c>
      <c r="F69" s="36" t="e">
        <f>SUMPRODUCT((INDEX(Rohdaten!$A$2:$GG$19999,,MATCH(C69,Rohdaten!$1:$1,))&amp;""=D69&amp;"")*(Rohdaten!$A$2:$A$19999&lt;&gt;""))</f>
        <v>#N/A</v>
      </c>
    </row>
    <row r="70" spans="1:9" s="17" customFormat="1" x14ac:dyDescent="0.25">
      <c r="A70" s="77"/>
      <c r="B70" s="77"/>
      <c r="C70" s="78" t="s">
        <v>238</v>
      </c>
      <c r="D70" s="77">
        <v>1</v>
      </c>
      <c r="E70" s="79" t="s">
        <v>186</v>
      </c>
      <c r="F70" s="36" t="e">
        <f>SUMPRODUCT((INDEX(Rohdaten!$A$2:$GG$19999,,MATCH(C70,Rohdaten!$1:$1,))&amp;""=D70&amp;"")*(Rohdaten!$A$2:$A$19999&lt;&gt;""))</f>
        <v>#N/A</v>
      </c>
      <c r="G70" s="36" t="str">
        <f>IF(MATCH(C70,$C:$C,0)=ROW(C70),SUM(F70:F72),"")</f>
        <v/>
      </c>
    </row>
    <row r="71" spans="1:9" s="17" customFormat="1" x14ac:dyDescent="0.25">
      <c r="A71" s="77"/>
      <c r="B71" s="77"/>
      <c r="C71" s="78" t="s">
        <v>238</v>
      </c>
      <c r="D71" s="77">
        <v>2</v>
      </c>
      <c r="E71" s="79" t="s">
        <v>185</v>
      </c>
      <c r="F71" s="36" t="e">
        <f>SUMPRODUCT((INDEX(Rohdaten!$A$2:$GG$19999,,MATCH(C71,Rohdaten!$1:$1,))&amp;""=D71&amp;"")*(Rohdaten!$A$2:$A$19999&lt;&gt;""))</f>
        <v>#N/A</v>
      </c>
      <c r="G71" s="36" t="str">
        <f>IF(MATCH(C71,$C:$C,0)=ROW(C71),SUM(F71:F73),"")</f>
        <v/>
      </c>
    </row>
    <row r="72" spans="1:9" s="17" customFormat="1" x14ac:dyDescent="0.25">
      <c r="A72" s="77"/>
      <c r="B72" s="77"/>
      <c r="C72" s="78" t="s">
        <v>238</v>
      </c>
      <c r="D72" s="77">
        <v>3</v>
      </c>
      <c r="E72" s="79" t="s">
        <v>221</v>
      </c>
      <c r="F72" s="36" t="e">
        <f>SUMPRODUCT((INDEX(Rohdaten!$A$2:$GG$19999,,MATCH(C72,Rohdaten!$1:$1,))&amp;""=D72&amp;"")*(Rohdaten!$A$2:$A$19999&lt;&gt;""))</f>
        <v>#N/A</v>
      </c>
      <c r="G72" s="36" t="str">
        <f>IF(MATCH(C72,$C:$C,0)=ROW(C72),SUM(F72:F74),"")</f>
        <v/>
      </c>
    </row>
    <row r="73" spans="1:9" s="17" customFormat="1" x14ac:dyDescent="0.25">
      <c r="A73" s="66" t="s">
        <v>218</v>
      </c>
      <c r="B73" s="67" t="s">
        <v>222</v>
      </c>
      <c r="C73" s="58" t="s">
        <v>239</v>
      </c>
      <c r="D73" s="68"/>
      <c r="E73" s="67" t="s">
        <v>45</v>
      </c>
      <c r="F73" s="36" t="e">
        <f>SUMPRODUCT((INDEX(Rohdaten!$A$2:$GG$19999,,MATCH(C73,Rohdaten!$1:$1,))&amp;""=D73&amp;"")*(Rohdaten!$A$2:$A$19999&lt;&gt;""))</f>
        <v>#N/A</v>
      </c>
      <c r="G73" s="36" t="e">
        <f>IF(MATCH(C73,$C:$C,0)=ROW(C73),SUM(F73:F76),"")</f>
        <v>#N/A</v>
      </c>
      <c r="I73" s="17" t="s">
        <v>384</v>
      </c>
    </row>
    <row r="74" spans="1:9" s="17" customFormat="1" x14ac:dyDescent="0.25">
      <c r="A74" s="77"/>
      <c r="B74" s="77"/>
      <c r="C74" s="78" t="s">
        <v>239</v>
      </c>
      <c r="D74" s="77">
        <v>0</v>
      </c>
      <c r="E74" s="79" t="s">
        <v>185</v>
      </c>
      <c r="F74" s="36" t="e">
        <f>SUMPRODUCT((INDEX(Rohdaten!$A$2:$GG$19999,,MATCH(C74,Rohdaten!$1:$1,))&amp;""=D74&amp;"")*(Rohdaten!$A$2:$A$19999&lt;&gt;""))</f>
        <v>#N/A</v>
      </c>
      <c r="G74" s="36" t="str">
        <f>IF(MATCH(C74,$C:$C,0)=ROW(C74),SUM(F74:F76),"")</f>
        <v/>
      </c>
    </row>
    <row r="75" spans="1:9" s="17" customFormat="1" x14ac:dyDescent="0.25">
      <c r="A75" s="77"/>
      <c r="B75" s="77"/>
      <c r="C75" s="78" t="s">
        <v>239</v>
      </c>
      <c r="D75" s="77">
        <v>1</v>
      </c>
      <c r="E75" s="79" t="s">
        <v>186</v>
      </c>
      <c r="F75" s="36" t="e">
        <f>SUMPRODUCT((INDEX(Rohdaten!$A$2:$GG$19999,,MATCH(C75,Rohdaten!$1:$1,))&amp;""=D75&amp;"")*(Rohdaten!$A$2:$A$19999&lt;&gt;""))</f>
        <v>#N/A</v>
      </c>
      <c r="G75" s="36" t="str">
        <f>IF(MATCH(C75,$C:$C,0)=ROW(C75),SUM(F75:F77),"")</f>
        <v/>
      </c>
    </row>
    <row r="76" spans="1:9" s="17" customFormat="1" x14ac:dyDescent="0.25">
      <c r="A76" s="77"/>
      <c r="B76" s="77"/>
      <c r="C76" s="78" t="s">
        <v>239</v>
      </c>
      <c r="D76" s="77">
        <v>2</v>
      </c>
      <c r="E76" s="79" t="s">
        <v>223</v>
      </c>
      <c r="F76" s="36" t="e">
        <f>SUMPRODUCT((INDEX(Rohdaten!$A$2:$GG$19999,,MATCH(C76,Rohdaten!$1:$1,))&amp;""=D76&amp;"")*(Rohdaten!$A$2:$A$19999&lt;&gt;""))</f>
        <v>#N/A</v>
      </c>
      <c r="G76" s="36" t="str">
        <f>IF(MATCH(C76,$C:$C,0)=ROW(C76),SUM(F76:F78),"")</f>
        <v/>
      </c>
    </row>
    <row r="77" spans="1:9" s="17" customFormat="1" x14ac:dyDescent="0.25">
      <c r="A77" s="66" t="s">
        <v>218</v>
      </c>
      <c r="B77" s="67" t="s">
        <v>224</v>
      </c>
      <c r="C77" s="58" t="s">
        <v>240</v>
      </c>
      <c r="D77" s="68"/>
      <c r="E77" s="67" t="s">
        <v>45</v>
      </c>
      <c r="F77" s="36" t="e">
        <f>SUMPRODUCT((INDEX(Rohdaten!$A$2:$GG$19999,,MATCH(C77,Rohdaten!$1:$1,))&amp;""=D77&amp;"")*(Rohdaten!$A$2:$A$19999&lt;&gt;""))</f>
        <v>#N/A</v>
      </c>
      <c r="G77" s="36" t="e">
        <f>IF(MATCH(C77,$C:$C,0)=ROW(C77),SUM(F77:F80),"")</f>
        <v>#N/A</v>
      </c>
      <c r="H77" s="17" t="str">
        <f>CONCATENATE("[Filter] Wenn Partner nicht eingebunden: n= ",K74)</f>
        <v xml:space="preserve">[Filter] Wenn Partner nicht eingebunden: n= </v>
      </c>
      <c r="I77" s="17" t="s">
        <v>384</v>
      </c>
    </row>
    <row r="78" spans="1:9" s="17" customFormat="1" x14ac:dyDescent="0.25">
      <c r="A78" s="77"/>
      <c r="B78" s="77"/>
      <c r="C78" s="78" t="s">
        <v>240</v>
      </c>
      <c r="D78" s="77">
        <v>1</v>
      </c>
      <c r="E78" s="79" t="s">
        <v>186</v>
      </c>
      <c r="F78" s="36" t="e">
        <f>SUMPRODUCT((INDEX(Rohdaten!$A$2:$GG$19999,,MATCH(C78,Rohdaten!$1:$1,))&amp;""=D78&amp;"")*(Rohdaten!$A$2:$A$19999&lt;&gt;""))</f>
        <v>#N/A</v>
      </c>
      <c r="G78" s="36" t="str">
        <f>IF(MATCH(C78,$C:$C,0)=ROW(C78),SUM(F78:F80),"")</f>
        <v/>
      </c>
    </row>
    <row r="79" spans="1:9" s="17" customFormat="1" x14ac:dyDescent="0.25">
      <c r="A79" s="77"/>
      <c r="B79" s="77"/>
      <c r="C79" s="78" t="s">
        <v>240</v>
      </c>
      <c r="D79" s="77">
        <v>2</v>
      </c>
      <c r="E79" s="79" t="s">
        <v>185</v>
      </c>
      <c r="F79" s="36" t="e">
        <f>SUMPRODUCT((INDEX(Rohdaten!$A$2:$GG$19999,,MATCH(C79,Rohdaten!$1:$1,))&amp;""=D79&amp;"")*(Rohdaten!$A$2:$A$19999&lt;&gt;""))</f>
        <v>#N/A</v>
      </c>
      <c r="G79" s="36" t="str">
        <f>IF(MATCH(C79,$C:$C,0)=ROW(C79),SUM(F79:F81),"")</f>
        <v/>
      </c>
    </row>
    <row r="80" spans="1:9" s="17" customFormat="1" x14ac:dyDescent="0.25">
      <c r="A80" s="77"/>
      <c r="B80" s="77"/>
      <c r="C80" s="78" t="s">
        <v>240</v>
      </c>
      <c r="D80" s="77">
        <v>3</v>
      </c>
      <c r="E80" s="79" t="s">
        <v>221</v>
      </c>
      <c r="F80" s="36" t="e">
        <f>SUMPRODUCT((INDEX(Rohdaten!$A$2:$GG$19999,,MATCH(C80,Rohdaten!$1:$1,))&amp;""=D80&amp;"")*(Rohdaten!$A$2:$A$19999&lt;&gt;""))</f>
        <v>#N/A</v>
      </c>
      <c r="G80" s="36" t="str">
        <f>IF(MATCH(C80,$C:$C,0)=ROW(C80),SUM(F80:F82),"")</f>
        <v/>
      </c>
    </row>
    <row r="81" spans="1:9" x14ac:dyDescent="0.25">
      <c r="A81" s="66" t="s">
        <v>194</v>
      </c>
      <c r="B81" s="67" t="s">
        <v>195</v>
      </c>
      <c r="C81" s="58" t="s">
        <v>241</v>
      </c>
      <c r="D81" s="68"/>
      <c r="E81" s="68" t="s">
        <v>45</v>
      </c>
      <c r="F81" s="58" t="e">
        <f>SUMPRODUCT((INDEX(Rohdaten!$A$2:$GG$19999,,MATCH(C81,Rohdaten!$1:$1,))&amp;""=D81&amp;"")*(Rohdaten!$A$2:$A$19999&lt;&gt;""))</f>
        <v>#N/A</v>
      </c>
      <c r="G81" s="58" t="e">
        <f>IF(MATCH(C81,$C:$C,0)=ROW(C81),SUM(F81:F102),"")</f>
        <v>#N/A</v>
      </c>
      <c r="H81" s="76" t="s">
        <v>129</v>
      </c>
      <c r="I81" s="17" t="s">
        <v>384</v>
      </c>
    </row>
    <row r="82" spans="1:9" x14ac:dyDescent="0.25">
      <c r="A82" s="77"/>
      <c r="B82" s="77"/>
      <c r="C82" s="78" t="s">
        <v>241</v>
      </c>
      <c r="D82" s="77">
        <v>1</v>
      </c>
      <c r="E82" s="79" t="s">
        <v>196</v>
      </c>
      <c r="F82" s="36">
        <f>SUMPRODUCT((ISNUMBER(SEARCH("{"&amp;D82&amp;",",INDEX(Rohdaten!$A$2:$GG$19999,,MATCH(C82,Rohdaten!$1:$1,)))))+(ISNUMBER(SEARCH(","&amp;D82&amp;",",INDEX(Rohdaten!$A$2:$GG$19999,,MATCH(C82,Rohdaten!$1:$1,)))))*1)</f>
        <v>0</v>
      </c>
      <c r="G82" s="17"/>
      <c r="H82" s="17" t="e">
        <f>CONCATENATE(A81," n=",G81)</f>
        <v>#N/A</v>
      </c>
      <c r="I82" s="17"/>
    </row>
    <row r="83" spans="1:9" x14ac:dyDescent="0.25">
      <c r="A83" s="80"/>
      <c r="B83" s="80"/>
      <c r="C83" s="78" t="s">
        <v>241</v>
      </c>
      <c r="D83" s="77">
        <v>10</v>
      </c>
      <c r="E83" s="79" t="s">
        <v>197</v>
      </c>
      <c r="F83" s="36">
        <f>SUMPRODUCT((ISNUMBER(SEARCH("{"&amp;D83&amp;",",INDEX(Rohdaten!$A$2:$GG$19999,,MATCH(C83,Rohdaten!$1:$1,)))))+(ISNUMBER(SEARCH(","&amp;D83&amp;",",INDEX(Rohdaten!$A$2:$GG$19999,,MATCH(C83,Rohdaten!$1:$1,)))))*1)</f>
        <v>0</v>
      </c>
      <c r="G83" s="17"/>
      <c r="H83" s="17"/>
      <c r="I83" s="17"/>
    </row>
    <row r="84" spans="1:9" x14ac:dyDescent="0.25">
      <c r="A84" s="77"/>
      <c r="B84" s="77"/>
      <c r="C84" s="78" t="s">
        <v>241</v>
      </c>
      <c r="D84" s="77">
        <v>11</v>
      </c>
      <c r="E84" s="79" t="s">
        <v>198</v>
      </c>
      <c r="F84" s="36">
        <f>SUMPRODUCT((ISNUMBER(SEARCH("{"&amp;D84&amp;",",INDEX(Rohdaten!$A$2:$GG$19999,,MATCH(C84,Rohdaten!$1:$1,)))))+(ISNUMBER(SEARCH(","&amp;D84&amp;",",INDEX(Rohdaten!$A$2:$GG$19999,,MATCH(C84,Rohdaten!$1:$1,)))))*1)</f>
        <v>0</v>
      </c>
      <c r="G84" s="17"/>
      <c r="H84" s="17"/>
      <c r="I84" s="17"/>
    </row>
    <row r="85" spans="1:9" x14ac:dyDescent="0.25">
      <c r="A85" s="77"/>
      <c r="B85" s="77"/>
      <c r="C85" s="78" t="s">
        <v>241</v>
      </c>
      <c r="D85" s="77">
        <v>12</v>
      </c>
      <c r="E85" s="79" t="s">
        <v>199</v>
      </c>
      <c r="F85" s="36">
        <f>SUMPRODUCT((ISNUMBER(SEARCH("{"&amp;D85&amp;",",INDEX(Rohdaten!$A$2:$GG$19999,,MATCH(C85,Rohdaten!$1:$1,)))))+(ISNUMBER(SEARCH(","&amp;D85&amp;",",INDEX(Rohdaten!$A$2:$GG$19999,,MATCH(C85,Rohdaten!$1:$1,)))))*1)</f>
        <v>0</v>
      </c>
      <c r="G85" s="17"/>
      <c r="H85" s="17"/>
      <c r="I85" s="17"/>
    </row>
    <row r="86" spans="1:9" x14ac:dyDescent="0.25">
      <c r="A86" s="77"/>
      <c r="B86" s="77"/>
      <c r="C86" s="78" t="s">
        <v>241</v>
      </c>
      <c r="D86" s="77">
        <v>13</v>
      </c>
      <c r="E86" s="79" t="s">
        <v>200</v>
      </c>
      <c r="F86" s="36">
        <f>SUMPRODUCT((ISNUMBER(SEARCH("{"&amp;D86&amp;",",INDEX(Rohdaten!$A$2:$GG$19999,,MATCH(C86,Rohdaten!$1:$1,)))))+(ISNUMBER(SEARCH(","&amp;D86&amp;",",INDEX(Rohdaten!$A$2:$GG$19999,,MATCH(C86,Rohdaten!$1:$1,)))))*1)</f>
        <v>0</v>
      </c>
      <c r="G86" s="17"/>
      <c r="H86" s="17"/>
      <c r="I86" s="17"/>
    </row>
    <row r="87" spans="1:9" x14ac:dyDescent="0.25">
      <c r="A87" s="77"/>
      <c r="B87" s="77"/>
      <c r="C87" s="78" t="s">
        <v>241</v>
      </c>
      <c r="D87" s="77">
        <v>14</v>
      </c>
      <c r="E87" s="79" t="s">
        <v>201</v>
      </c>
      <c r="F87" s="36">
        <f>SUMPRODUCT((ISNUMBER(SEARCH("{"&amp;D87&amp;",",INDEX(Rohdaten!$A$2:$GG$19999,,MATCH(C87,Rohdaten!$1:$1,)))))+(ISNUMBER(SEARCH(","&amp;D87&amp;",",INDEX(Rohdaten!$A$2:$GG$19999,,MATCH(C87,Rohdaten!$1:$1,)))))*1)</f>
        <v>0</v>
      </c>
      <c r="G87" s="17"/>
      <c r="H87" s="17"/>
      <c r="I87" s="17"/>
    </row>
    <row r="88" spans="1:9" x14ac:dyDescent="0.25">
      <c r="A88" s="77"/>
      <c r="B88" s="77"/>
      <c r="C88" s="78" t="s">
        <v>241</v>
      </c>
      <c r="D88" s="77">
        <v>15</v>
      </c>
      <c r="E88" s="79" t="s">
        <v>202</v>
      </c>
      <c r="F88" s="36">
        <f>SUMPRODUCT((ISNUMBER(SEARCH("{"&amp;D88&amp;",",INDEX(Rohdaten!$A$2:$GG$19999,,MATCH(C88,Rohdaten!$1:$1,)))))+(ISNUMBER(SEARCH(","&amp;D88&amp;",",INDEX(Rohdaten!$A$2:$GG$19999,,MATCH(C88,Rohdaten!$1:$1,)))))*1)</f>
        <v>0</v>
      </c>
      <c r="G88" s="17"/>
      <c r="H88" s="17"/>
      <c r="I88" s="17"/>
    </row>
    <row r="89" spans="1:9" x14ac:dyDescent="0.25">
      <c r="A89" s="77"/>
      <c r="B89" s="77"/>
      <c r="C89" s="78" t="s">
        <v>241</v>
      </c>
      <c r="D89" s="77">
        <v>16</v>
      </c>
      <c r="E89" s="79" t="s">
        <v>203</v>
      </c>
      <c r="F89" s="36">
        <f>SUMPRODUCT((ISNUMBER(SEARCH("{"&amp;D89&amp;",",INDEX(Rohdaten!$A$2:$GG$19999,,MATCH(C89,Rohdaten!$1:$1,)))))+(ISNUMBER(SEARCH(","&amp;D89&amp;",",INDEX(Rohdaten!$A$2:$GG$19999,,MATCH(C89,Rohdaten!$1:$1,)))))*1)</f>
        <v>0</v>
      </c>
      <c r="G89" s="17"/>
      <c r="H89" s="17"/>
      <c r="I89" s="17"/>
    </row>
    <row r="90" spans="1:9" x14ac:dyDescent="0.25">
      <c r="A90" s="77"/>
      <c r="B90" s="77"/>
      <c r="C90" s="78" t="s">
        <v>241</v>
      </c>
      <c r="D90" s="77">
        <v>17</v>
      </c>
      <c r="E90" s="79" t="s">
        <v>204</v>
      </c>
      <c r="F90" s="36">
        <f>SUMPRODUCT((ISNUMBER(SEARCH("{"&amp;D90&amp;",",INDEX(Rohdaten!$A$2:$GG$19999,,MATCH(C90,Rohdaten!$1:$1,)))))+(ISNUMBER(SEARCH(","&amp;D90&amp;",",INDEX(Rohdaten!$A$2:$GG$19999,,MATCH(C90,Rohdaten!$1:$1,)))))*1)</f>
        <v>0</v>
      </c>
      <c r="G90" s="17"/>
      <c r="H90" s="17"/>
      <c r="I90" s="17"/>
    </row>
    <row r="91" spans="1:9" x14ac:dyDescent="0.25">
      <c r="A91" s="77"/>
      <c r="B91" s="77"/>
      <c r="C91" s="78" t="s">
        <v>241</v>
      </c>
      <c r="D91" s="77">
        <v>18</v>
      </c>
      <c r="E91" s="79" t="s">
        <v>205</v>
      </c>
      <c r="F91" s="36">
        <f>SUMPRODUCT((ISNUMBER(SEARCH("{"&amp;D91&amp;",",INDEX(Rohdaten!$A$2:$GG$19999,,MATCH(C91,Rohdaten!$1:$1,)))))+(ISNUMBER(SEARCH(","&amp;D91&amp;",",INDEX(Rohdaten!$A$2:$GG$19999,,MATCH(C91,Rohdaten!$1:$1,)))))*1)</f>
        <v>0</v>
      </c>
      <c r="G91" s="17"/>
      <c r="H91" s="17"/>
      <c r="I91" s="17"/>
    </row>
    <row r="92" spans="1:9" x14ac:dyDescent="0.25">
      <c r="A92" s="77"/>
      <c r="B92" s="77"/>
      <c r="C92" s="78" t="s">
        <v>241</v>
      </c>
      <c r="D92" s="77">
        <v>19</v>
      </c>
      <c r="E92" s="79" t="s">
        <v>206</v>
      </c>
      <c r="F92" s="36">
        <f>SUMPRODUCT((ISNUMBER(SEARCH("{"&amp;D92&amp;",",INDEX(Rohdaten!$A$2:$GG$19999,,MATCH(C92,Rohdaten!$1:$1,)))))+(ISNUMBER(SEARCH(","&amp;D92&amp;",",INDEX(Rohdaten!$A$2:$GG$19999,,MATCH(C92,Rohdaten!$1:$1,)))))*1)</f>
        <v>0</v>
      </c>
      <c r="G92" s="17"/>
      <c r="H92" s="17"/>
      <c r="I92" s="17"/>
    </row>
    <row r="93" spans="1:9" x14ac:dyDescent="0.25">
      <c r="A93" s="77"/>
      <c r="B93" s="77"/>
      <c r="C93" s="78" t="s">
        <v>241</v>
      </c>
      <c r="D93" s="77">
        <v>2</v>
      </c>
      <c r="E93" s="79" t="s">
        <v>207</v>
      </c>
      <c r="F93" s="36">
        <f>SUMPRODUCT((ISNUMBER(SEARCH("{"&amp;D93&amp;",",INDEX(Rohdaten!$A$2:$GG$19999,,MATCH(C93,Rohdaten!$1:$1,)))))+(ISNUMBER(SEARCH(","&amp;D93&amp;",",INDEX(Rohdaten!$A$2:$GG$19999,,MATCH(C93,Rohdaten!$1:$1,)))))*1)</f>
        <v>0</v>
      </c>
      <c r="G93" s="17"/>
      <c r="H93" s="17"/>
      <c r="I93" s="17"/>
    </row>
    <row r="94" spans="1:9" x14ac:dyDescent="0.25">
      <c r="A94" s="77"/>
      <c r="B94" s="77"/>
      <c r="C94" s="78" t="s">
        <v>241</v>
      </c>
      <c r="D94" s="77">
        <v>20</v>
      </c>
      <c r="E94" s="79" t="s">
        <v>208</v>
      </c>
      <c r="F94" s="36">
        <f>SUMPRODUCT((ISNUMBER(SEARCH("{"&amp;D94&amp;",",INDEX(Rohdaten!$A$2:$GG$19999,,MATCH(C94,Rohdaten!$1:$1,)))))+(ISNUMBER(SEARCH(","&amp;D94&amp;",",INDEX(Rohdaten!$A$2:$GG$19999,,MATCH(C94,Rohdaten!$1:$1,)))))*1)</f>
        <v>0</v>
      </c>
      <c r="G94" s="17"/>
      <c r="H94" s="17"/>
      <c r="I94" s="17"/>
    </row>
    <row r="95" spans="1:9" x14ac:dyDescent="0.25">
      <c r="A95" s="77"/>
      <c r="B95" s="77"/>
      <c r="C95" s="78" t="s">
        <v>241</v>
      </c>
      <c r="D95" s="77">
        <v>21</v>
      </c>
      <c r="E95" s="79" t="s">
        <v>209</v>
      </c>
      <c r="F95" s="36">
        <f>SUMPRODUCT((ISNUMBER(SEARCH("{"&amp;D95&amp;",",INDEX(Rohdaten!$A$2:$GG$19999,,MATCH(C95,Rohdaten!$1:$1,)))))+(ISNUMBER(SEARCH(","&amp;D95&amp;",",INDEX(Rohdaten!$A$2:$GG$19999,,MATCH(C95,Rohdaten!$1:$1,)))))*1)</f>
        <v>0</v>
      </c>
      <c r="G95" s="17"/>
      <c r="H95" s="17"/>
      <c r="I95" s="17"/>
    </row>
    <row r="96" spans="1:9" x14ac:dyDescent="0.25">
      <c r="A96" s="77"/>
      <c r="B96" s="77"/>
      <c r="C96" s="78" t="s">
        <v>241</v>
      </c>
      <c r="D96" s="77">
        <v>3</v>
      </c>
      <c r="E96" s="79" t="s">
        <v>210</v>
      </c>
      <c r="F96" s="36">
        <f>SUMPRODUCT((ISNUMBER(SEARCH("{"&amp;D96&amp;",",INDEX(Rohdaten!$A$2:$GG$19999,,MATCH(C96,Rohdaten!$1:$1,)))))+(ISNUMBER(SEARCH(","&amp;D96&amp;",",INDEX(Rohdaten!$A$2:$GG$19999,,MATCH(C96,Rohdaten!$1:$1,)))))*1)</f>
        <v>0</v>
      </c>
      <c r="G96" s="17"/>
      <c r="H96" s="17"/>
      <c r="I96" s="17"/>
    </row>
    <row r="97" spans="1:9" x14ac:dyDescent="0.25">
      <c r="A97" s="77"/>
      <c r="B97" s="77"/>
      <c r="C97" s="78" t="s">
        <v>241</v>
      </c>
      <c r="D97" s="77">
        <v>4</v>
      </c>
      <c r="E97" s="79" t="s">
        <v>211</v>
      </c>
      <c r="F97" s="36">
        <f>SUMPRODUCT((ISNUMBER(SEARCH("{"&amp;D97&amp;",",INDEX(Rohdaten!$A$2:$GG$19999,,MATCH(C97,Rohdaten!$1:$1,)))))+(ISNUMBER(SEARCH(","&amp;D97&amp;",",INDEX(Rohdaten!$A$2:$GG$19999,,MATCH(C97,Rohdaten!$1:$1,)))))*1)</f>
        <v>0</v>
      </c>
      <c r="G97" s="17"/>
      <c r="H97" s="17"/>
      <c r="I97" s="17"/>
    </row>
    <row r="98" spans="1:9" x14ac:dyDescent="0.25">
      <c r="A98" s="77"/>
      <c r="B98" s="77"/>
      <c r="C98" s="78" t="s">
        <v>241</v>
      </c>
      <c r="D98" s="77">
        <v>5</v>
      </c>
      <c r="E98" s="79" t="s">
        <v>212</v>
      </c>
      <c r="F98" s="36">
        <f>SUMPRODUCT((ISNUMBER(SEARCH("{"&amp;D98&amp;",",INDEX(Rohdaten!$A$2:$GG$19999,,MATCH(C98,Rohdaten!$1:$1,)))))+(ISNUMBER(SEARCH(","&amp;D98&amp;",",INDEX(Rohdaten!$A$2:$GG$19999,,MATCH(C98,Rohdaten!$1:$1,)))))*1)</f>
        <v>0</v>
      </c>
      <c r="G98" s="17"/>
      <c r="H98" s="17"/>
      <c r="I98" s="17"/>
    </row>
    <row r="99" spans="1:9" x14ac:dyDescent="0.25">
      <c r="A99" s="77"/>
      <c r="B99" s="77"/>
      <c r="C99" s="78" t="s">
        <v>241</v>
      </c>
      <c r="D99" s="77">
        <v>6</v>
      </c>
      <c r="E99" s="79" t="s">
        <v>213</v>
      </c>
      <c r="F99" s="36">
        <f>SUMPRODUCT((ISNUMBER(SEARCH("{"&amp;D99&amp;",",INDEX(Rohdaten!$A$2:$GG$19999,,MATCH(C99,Rohdaten!$1:$1,)))))+(ISNUMBER(SEARCH(","&amp;D99&amp;",",INDEX(Rohdaten!$A$2:$GG$19999,,MATCH(C99,Rohdaten!$1:$1,)))))*1)</f>
        <v>0</v>
      </c>
      <c r="G99" s="17"/>
      <c r="H99" s="17"/>
      <c r="I99" s="17"/>
    </row>
    <row r="100" spans="1:9" x14ac:dyDescent="0.25">
      <c r="A100" s="77"/>
      <c r="B100" s="77"/>
      <c r="C100" s="78" t="s">
        <v>241</v>
      </c>
      <c r="D100" s="77">
        <v>7</v>
      </c>
      <c r="E100" s="79" t="s">
        <v>214</v>
      </c>
      <c r="F100" s="36">
        <f>SUMPRODUCT((ISNUMBER(SEARCH("{"&amp;D100&amp;",",INDEX(Rohdaten!$A$2:$GG$19999,,MATCH(C100,Rohdaten!$1:$1,)))))+(ISNUMBER(SEARCH(","&amp;D100&amp;",",INDEX(Rohdaten!$A$2:$GG$19999,,MATCH(C100,Rohdaten!$1:$1,)))))*1)</f>
        <v>0</v>
      </c>
      <c r="G100" s="17"/>
      <c r="H100" s="17"/>
      <c r="I100" s="17"/>
    </row>
    <row r="101" spans="1:9" x14ac:dyDescent="0.25">
      <c r="A101" s="77"/>
      <c r="B101" s="77"/>
      <c r="C101" s="78" t="s">
        <v>241</v>
      </c>
      <c r="D101" s="77">
        <v>8</v>
      </c>
      <c r="E101" s="79" t="s">
        <v>215</v>
      </c>
      <c r="F101" s="36">
        <f>SUMPRODUCT((ISNUMBER(SEARCH("{"&amp;D101&amp;",",INDEX(Rohdaten!$A$2:$GG$19999,,MATCH(C101,Rohdaten!$1:$1,)))))+(ISNUMBER(SEARCH(","&amp;D101&amp;",",INDEX(Rohdaten!$A$2:$GG$19999,,MATCH(C101,Rohdaten!$1:$1,)))))*1)</f>
        <v>0</v>
      </c>
      <c r="G101" s="17"/>
      <c r="H101" s="17"/>
      <c r="I101" s="17"/>
    </row>
    <row r="102" spans="1:9" x14ac:dyDescent="0.25">
      <c r="A102" s="77"/>
      <c r="B102" s="77"/>
      <c r="C102" s="78" t="s">
        <v>241</v>
      </c>
      <c r="D102" s="77">
        <v>9</v>
      </c>
      <c r="E102" s="79" t="s">
        <v>216</v>
      </c>
      <c r="F102" s="36">
        <f>SUMPRODUCT((ISNUMBER(SEARCH("{"&amp;D102&amp;",",INDEX(Rohdaten!$A$2:$GG$19999,,MATCH(C102,Rohdaten!$1:$1,)))))+(ISNUMBER(SEARCH(","&amp;D102&amp;",",INDEX(Rohdaten!$A$2:$GG$19999,,MATCH(C102,Rohdaten!$1:$1,)))))*1)</f>
        <v>0</v>
      </c>
      <c r="G102" s="17"/>
      <c r="H102" s="17"/>
      <c r="I102" s="17"/>
    </row>
    <row r="103" spans="1:9" x14ac:dyDescent="0.25">
      <c r="A103" s="66" t="s">
        <v>217</v>
      </c>
      <c r="B103" s="67"/>
      <c r="C103" s="58" t="s">
        <v>242</v>
      </c>
      <c r="D103" s="68"/>
      <c r="E103" s="68" t="s">
        <v>45</v>
      </c>
      <c r="F103" s="58" t="e">
        <f>SUMPRODUCT((INDEX(Rohdaten!$A$2:$GG$19999,,MATCH(C103,Rohdaten!$1:$1,))&amp;""=D103&amp;"")*(Rohdaten!$A$2:$A$19999&lt;&gt;""))</f>
        <v>#N/A</v>
      </c>
      <c r="G103" s="58" t="e">
        <f>IF(MATCH(C103,$C:$C,0)=ROW(C103),SUM(F103:F124),"")</f>
        <v>#N/A</v>
      </c>
      <c r="H103" s="76" t="s">
        <v>129</v>
      </c>
      <c r="I103" s="17" t="s">
        <v>384</v>
      </c>
    </row>
    <row r="104" spans="1:9" x14ac:dyDescent="0.25">
      <c r="A104" s="77"/>
      <c r="B104" s="77"/>
      <c r="C104" s="78" t="s">
        <v>242</v>
      </c>
      <c r="D104" s="77">
        <v>1</v>
      </c>
      <c r="E104" s="79" t="s">
        <v>196</v>
      </c>
      <c r="F104" s="36">
        <f>SUMPRODUCT((ISNUMBER(SEARCH("{"&amp;D104&amp;",",INDEX(Rohdaten!$A$2:$GG$19999,,MATCH(C104,Rohdaten!$1:$1,)))))+(ISNUMBER(SEARCH(","&amp;D104&amp;",",INDEX(Rohdaten!$A$2:$GG$19999,,MATCH(C104,Rohdaten!$1:$1,)))))*1)</f>
        <v>0</v>
      </c>
      <c r="G104" s="17"/>
      <c r="H104" s="17" t="e">
        <f>CONCATENATE(A103," n=",G103)</f>
        <v>#N/A</v>
      </c>
      <c r="I104" s="17"/>
    </row>
    <row r="105" spans="1:9" x14ac:dyDescent="0.25">
      <c r="A105" s="80"/>
      <c r="B105" s="80"/>
      <c r="C105" s="78" t="s">
        <v>242</v>
      </c>
      <c r="D105" s="77">
        <v>10</v>
      </c>
      <c r="E105" s="79" t="s">
        <v>197</v>
      </c>
      <c r="F105" s="36">
        <f>SUMPRODUCT((ISNUMBER(SEARCH("{"&amp;D105&amp;",",INDEX(Rohdaten!$A$2:$GG$19999,,MATCH(C105,Rohdaten!$1:$1,)))))+(ISNUMBER(SEARCH(","&amp;D105&amp;",",INDEX(Rohdaten!$A$2:$GG$19999,,MATCH(C105,Rohdaten!$1:$1,)))))*1)</f>
        <v>0</v>
      </c>
      <c r="G105" s="17"/>
      <c r="H105" s="17"/>
      <c r="I105" s="17"/>
    </row>
    <row r="106" spans="1:9" x14ac:dyDescent="0.25">
      <c r="A106" s="77"/>
      <c r="B106" s="77"/>
      <c r="C106" s="78" t="s">
        <v>242</v>
      </c>
      <c r="D106" s="77">
        <v>11</v>
      </c>
      <c r="E106" s="79" t="s">
        <v>198</v>
      </c>
      <c r="F106" s="36">
        <f>SUMPRODUCT((ISNUMBER(SEARCH("{"&amp;D106&amp;",",INDEX(Rohdaten!$A$2:$GG$19999,,MATCH(C106,Rohdaten!$1:$1,)))))+(ISNUMBER(SEARCH(","&amp;D106&amp;",",INDEX(Rohdaten!$A$2:$GG$19999,,MATCH(C106,Rohdaten!$1:$1,)))))*1)</f>
        <v>0</v>
      </c>
      <c r="G106" s="17"/>
      <c r="H106" s="17"/>
      <c r="I106" s="17"/>
    </row>
    <row r="107" spans="1:9" x14ac:dyDescent="0.25">
      <c r="A107" s="77"/>
      <c r="B107" s="77"/>
      <c r="C107" s="78" t="s">
        <v>242</v>
      </c>
      <c r="D107" s="77">
        <v>12</v>
      </c>
      <c r="E107" s="79" t="s">
        <v>199</v>
      </c>
      <c r="F107" s="36">
        <f>SUMPRODUCT((ISNUMBER(SEARCH("{"&amp;D107&amp;",",INDEX(Rohdaten!$A$2:$GG$19999,,MATCH(C107,Rohdaten!$1:$1,)))))+(ISNUMBER(SEARCH(","&amp;D107&amp;",",INDEX(Rohdaten!$A$2:$GG$19999,,MATCH(C107,Rohdaten!$1:$1,)))))*1)</f>
        <v>0</v>
      </c>
      <c r="G107" s="17"/>
      <c r="H107" s="17"/>
      <c r="I107" s="17"/>
    </row>
    <row r="108" spans="1:9" x14ac:dyDescent="0.25">
      <c r="A108" s="77"/>
      <c r="B108" s="77"/>
      <c r="C108" s="78" t="s">
        <v>242</v>
      </c>
      <c r="D108" s="77">
        <v>13</v>
      </c>
      <c r="E108" s="79" t="s">
        <v>200</v>
      </c>
      <c r="F108" s="36">
        <f>SUMPRODUCT((ISNUMBER(SEARCH("{"&amp;D108&amp;",",INDEX(Rohdaten!$A$2:$GG$19999,,MATCH(C108,Rohdaten!$1:$1,)))))+(ISNUMBER(SEARCH(","&amp;D108&amp;",",INDEX(Rohdaten!$A$2:$GG$19999,,MATCH(C108,Rohdaten!$1:$1,)))))*1)</f>
        <v>0</v>
      </c>
      <c r="G108" s="17"/>
      <c r="H108" s="17"/>
      <c r="I108" s="17"/>
    </row>
    <row r="109" spans="1:9" x14ac:dyDescent="0.25">
      <c r="A109" s="77"/>
      <c r="B109" s="77"/>
      <c r="C109" s="78" t="s">
        <v>242</v>
      </c>
      <c r="D109" s="77">
        <v>14</v>
      </c>
      <c r="E109" s="79" t="s">
        <v>201</v>
      </c>
      <c r="F109" s="36">
        <f>SUMPRODUCT((ISNUMBER(SEARCH("{"&amp;D109&amp;",",INDEX(Rohdaten!$A$2:$GG$19999,,MATCH(C109,Rohdaten!$1:$1,)))))+(ISNUMBER(SEARCH(","&amp;D109&amp;",",INDEX(Rohdaten!$A$2:$GG$19999,,MATCH(C109,Rohdaten!$1:$1,)))))*1)</f>
        <v>0</v>
      </c>
      <c r="G109" s="17"/>
      <c r="H109" s="17"/>
      <c r="I109" s="17"/>
    </row>
    <row r="110" spans="1:9" x14ac:dyDescent="0.25">
      <c r="A110" s="77"/>
      <c r="B110" s="77"/>
      <c r="C110" s="78" t="s">
        <v>242</v>
      </c>
      <c r="D110" s="77">
        <v>15</v>
      </c>
      <c r="E110" s="79" t="s">
        <v>202</v>
      </c>
      <c r="F110" s="36">
        <f>SUMPRODUCT((ISNUMBER(SEARCH("{"&amp;D110&amp;",",INDEX(Rohdaten!$A$2:$GG$19999,,MATCH(C110,Rohdaten!$1:$1,)))))+(ISNUMBER(SEARCH(","&amp;D110&amp;",",INDEX(Rohdaten!$A$2:$GG$19999,,MATCH(C110,Rohdaten!$1:$1,)))))*1)</f>
        <v>0</v>
      </c>
      <c r="G110" s="17"/>
      <c r="H110" s="17"/>
      <c r="I110" s="17"/>
    </row>
    <row r="111" spans="1:9" x14ac:dyDescent="0.25">
      <c r="A111" s="77"/>
      <c r="B111" s="77"/>
      <c r="C111" s="78" t="s">
        <v>242</v>
      </c>
      <c r="D111" s="77">
        <v>16</v>
      </c>
      <c r="E111" s="79" t="s">
        <v>203</v>
      </c>
      <c r="F111" s="36">
        <f>SUMPRODUCT((ISNUMBER(SEARCH("{"&amp;D111&amp;",",INDEX(Rohdaten!$A$2:$GG$19999,,MATCH(C111,Rohdaten!$1:$1,)))))+(ISNUMBER(SEARCH(","&amp;D111&amp;",",INDEX(Rohdaten!$A$2:$GG$19999,,MATCH(C111,Rohdaten!$1:$1,)))))*1)</f>
        <v>0</v>
      </c>
      <c r="G111" s="17"/>
      <c r="H111" s="17"/>
      <c r="I111" s="17"/>
    </row>
    <row r="112" spans="1:9" x14ac:dyDescent="0.25">
      <c r="A112" s="77"/>
      <c r="B112" s="77"/>
      <c r="C112" s="78" t="s">
        <v>242</v>
      </c>
      <c r="D112" s="77">
        <v>17</v>
      </c>
      <c r="E112" s="79" t="s">
        <v>204</v>
      </c>
      <c r="F112" s="36">
        <f>SUMPRODUCT((ISNUMBER(SEARCH("{"&amp;D112&amp;",",INDEX(Rohdaten!$A$2:$GG$19999,,MATCH(C112,Rohdaten!$1:$1,)))))+(ISNUMBER(SEARCH(","&amp;D112&amp;",",INDEX(Rohdaten!$A$2:$GG$19999,,MATCH(C112,Rohdaten!$1:$1,)))))*1)</f>
        <v>0</v>
      </c>
      <c r="G112" s="17"/>
      <c r="H112" s="17"/>
      <c r="I112" s="17"/>
    </row>
    <row r="113" spans="1:9" x14ac:dyDescent="0.25">
      <c r="A113" s="77"/>
      <c r="B113" s="77"/>
      <c r="C113" s="78" t="s">
        <v>242</v>
      </c>
      <c r="D113" s="77">
        <v>18</v>
      </c>
      <c r="E113" s="79" t="s">
        <v>205</v>
      </c>
      <c r="F113" s="36">
        <f>SUMPRODUCT((ISNUMBER(SEARCH("{"&amp;D113&amp;",",INDEX(Rohdaten!$A$2:$GG$19999,,MATCH(C113,Rohdaten!$1:$1,)))))+(ISNUMBER(SEARCH(","&amp;D113&amp;",",INDEX(Rohdaten!$A$2:$GG$19999,,MATCH(C113,Rohdaten!$1:$1,)))))*1)</f>
        <v>0</v>
      </c>
      <c r="G113" s="17"/>
      <c r="H113" s="17"/>
      <c r="I113" s="17"/>
    </row>
    <row r="114" spans="1:9" x14ac:dyDescent="0.25">
      <c r="A114" s="77"/>
      <c r="B114" s="77"/>
      <c r="C114" s="78" t="s">
        <v>242</v>
      </c>
      <c r="D114" s="77">
        <v>19</v>
      </c>
      <c r="E114" s="79" t="s">
        <v>206</v>
      </c>
      <c r="F114" s="36">
        <f>SUMPRODUCT((ISNUMBER(SEARCH("{"&amp;D114&amp;",",INDEX(Rohdaten!$A$2:$GG$19999,,MATCH(C114,Rohdaten!$1:$1,)))))+(ISNUMBER(SEARCH(","&amp;D114&amp;",",INDEX(Rohdaten!$A$2:$GG$19999,,MATCH(C114,Rohdaten!$1:$1,)))))*1)</f>
        <v>0</v>
      </c>
      <c r="G114" s="17"/>
      <c r="H114" s="17"/>
      <c r="I114" s="17"/>
    </row>
    <row r="115" spans="1:9" x14ac:dyDescent="0.25">
      <c r="A115" s="77"/>
      <c r="B115" s="77"/>
      <c r="C115" s="78" t="s">
        <v>242</v>
      </c>
      <c r="D115" s="77">
        <v>2</v>
      </c>
      <c r="E115" s="79" t="s">
        <v>207</v>
      </c>
      <c r="F115" s="36">
        <f>SUMPRODUCT((ISNUMBER(SEARCH("{"&amp;D115&amp;",",INDEX(Rohdaten!$A$2:$GG$19999,,MATCH(C115,Rohdaten!$1:$1,)))))+(ISNUMBER(SEARCH(","&amp;D115&amp;",",INDEX(Rohdaten!$A$2:$GG$19999,,MATCH(C115,Rohdaten!$1:$1,)))))*1)</f>
        <v>0</v>
      </c>
      <c r="G115" s="17"/>
      <c r="H115" s="17"/>
      <c r="I115" s="17"/>
    </row>
    <row r="116" spans="1:9" x14ac:dyDescent="0.25">
      <c r="A116" s="77"/>
      <c r="B116" s="77"/>
      <c r="C116" s="78" t="s">
        <v>242</v>
      </c>
      <c r="D116" s="77">
        <v>20</v>
      </c>
      <c r="E116" s="79" t="s">
        <v>208</v>
      </c>
      <c r="F116" s="36">
        <f>SUMPRODUCT((ISNUMBER(SEARCH("{"&amp;D116&amp;",",INDEX(Rohdaten!$A$2:$GG$19999,,MATCH(C116,Rohdaten!$1:$1,)))))+(ISNUMBER(SEARCH(","&amp;D116&amp;",",INDEX(Rohdaten!$A$2:$GG$19999,,MATCH(C116,Rohdaten!$1:$1,)))))*1)</f>
        <v>0</v>
      </c>
      <c r="G116" s="17"/>
      <c r="H116" s="17"/>
      <c r="I116" s="17"/>
    </row>
    <row r="117" spans="1:9" x14ac:dyDescent="0.25">
      <c r="A117" s="77"/>
      <c r="B117" s="77"/>
      <c r="C117" s="78" t="s">
        <v>242</v>
      </c>
      <c r="D117" s="77">
        <v>21</v>
      </c>
      <c r="E117" s="79" t="s">
        <v>209</v>
      </c>
      <c r="F117" s="36">
        <f>SUMPRODUCT((ISNUMBER(SEARCH("{"&amp;D117&amp;",",INDEX(Rohdaten!$A$2:$GG$19999,,MATCH(C117,Rohdaten!$1:$1,)))))+(ISNUMBER(SEARCH(","&amp;D117&amp;",",INDEX(Rohdaten!$A$2:$GG$19999,,MATCH(C117,Rohdaten!$1:$1,)))))*1)</f>
        <v>0</v>
      </c>
      <c r="G117" s="17"/>
      <c r="H117" s="17"/>
      <c r="I117" s="17"/>
    </row>
    <row r="118" spans="1:9" x14ac:dyDescent="0.25">
      <c r="A118" s="77"/>
      <c r="B118" s="77"/>
      <c r="C118" s="78" t="s">
        <v>242</v>
      </c>
      <c r="D118" s="77">
        <v>3</v>
      </c>
      <c r="E118" s="79" t="s">
        <v>210</v>
      </c>
      <c r="F118" s="36">
        <f>SUMPRODUCT((ISNUMBER(SEARCH("{"&amp;D118&amp;",",INDEX(Rohdaten!$A$2:$GG$19999,,MATCH(C118,Rohdaten!$1:$1,)))))+(ISNUMBER(SEARCH(","&amp;D118&amp;",",INDEX(Rohdaten!$A$2:$GG$19999,,MATCH(C118,Rohdaten!$1:$1,)))))*1)</f>
        <v>0</v>
      </c>
      <c r="G118" s="17"/>
      <c r="H118" s="17"/>
      <c r="I118" s="17"/>
    </row>
    <row r="119" spans="1:9" x14ac:dyDescent="0.25">
      <c r="A119" s="77"/>
      <c r="B119" s="77"/>
      <c r="C119" s="78" t="s">
        <v>242</v>
      </c>
      <c r="D119" s="77">
        <v>4</v>
      </c>
      <c r="E119" s="79" t="s">
        <v>211</v>
      </c>
      <c r="F119" s="36">
        <f>SUMPRODUCT((ISNUMBER(SEARCH("{"&amp;D119&amp;",",INDEX(Rohdaten!$A$2:$GG$19999,,MATCH(C119,Rohdaten!$1:$1,)))))+(ISNUMBER(SEARCH(","&amp;D119&amp;",",INDEX(Rohdaten!$A$2:$GG$19999,,MATCH(C119,Rohdaten!$1:$1,)))))*1)</f>
        <v>0</v>
      </c>
      <c r="G119" s="17"/>
      <c r="H119" s="17"/>
      <c r="I119" s="17"/>
    </row>
    <row r="120" spans="1:9" x14ac:dyDescent="0.25">
      <c r="A120" s="77"/>
      <c r="B120" s="77"/>
      <c r="C120" s="78" t="s">
        <v>242</v>
      </c>
      <c r="D120" s="77">
        <v>5</v>
      </c>
      <c r="E120" s="79" t="s">
        <v>212</v>
      </c>
      <c r="F120" s="36">
        <f>SUMPRODUCT((ISNUMBER(SEARCH("{"&amp;D120&amp;",",INDEX(Rohdaten!$A$2:$GG$19999,,MATCH(C120,Rohdaten!$1:$1,)))))+(ISNUMBER(SEARCH(","&amp;D120&amp;",",INDEX(Rohdaten!$A$2:$GG$19999,,MATCH(C120,Rohdaten!$1:$1,)))))*1)</f>
        <v>0</v>
      </c>
      <c r="G120" s="17"/>
      <c r="H120" s="17"/>
      <c r="I120" s="17"/>
    </row>
    <row r="121" spans="1:9" x14ac:dyDescent="0.25">
      <c r="A121" s="77"/>
      <c r="B121" s="77"/>
      <c r="C121" s="78" t="s">
        <v>242</v>
      </c>
      <c r="D121" s="77">
        <v>6</v>
      </c>
      <c r="E121" s="79" t="s">
        <v>213</v>
      </c>
      <c r="F121" s="36">
        <f>SUMPRODUCT((ISNUMBER(SEARCH("{"&amp;D121&amp;",",INDEX(Rohdaten!$A$2:$GG$19999,,MATCH(C121,Rohdaten!$1:$1,)))))+(ISNUMBER(SEARCH(","&amp;D121&amp;",",INDEX(Rohdaten!$A$2:$GG$19999,,MATCH(C121,Rohdaten!$1:$1,)))))*1)</f>
        <v>0</v>
      </c>
      <c r="G121" s="17"/>
      <c r="H121" s="17"/>
      <c r="I121" s="17"/>
    </row>
    <row r="122" spans="1:9" x14ac:dyDescent="0.25">
      <c r="A122" s="77"/>
      <c r="B122" s="77"/>
      <c r="C122" s="78" t="s">
        <v>242</v>
      </c>
      <c r="D122" s="77">
        <v>7</v>
      </c>
      <c r="E122" s="79" t="s">
        <v>214</v>
      </c>
      <c r="F122" s="36">
        <f>SUMPRODUCT((ISNUMBER(SEARCH("{"&amp;D122&amp;",",INDEX(Rohdaten!$A$2:$GG$19999,,MATCH(C122,Rohdaten!$1:$1,)))))+(ISNUMBER(SEARCH(","&amp;D122&amp;",",INDEX(Rohdaten!$A$2:$GG$19999,,MATCH(C122,Rohdaten!$1:$1,)))))*1)</f>
        <v>0</v>
      </c>
      <c r="G122" s="17"/>
      <c r="H122" s="17"/>
      <c r="I122" s="17"/>
    </row>
    <row r="123" spans="1:9" x14ac:dyDescent="0.25">
      <c r="A123" s="77"/>
      <c r="B123" s="77"/>
      <c r="C123" s="78" t="s">
        <v>242</v>
      </c>
      <c r="D123" s="77">
        <v>8</v>
      </c>
      <c r="E123" s="79" t="s">
        <v>215</v>
      </c>
      <c r="F123" s="36">
        <f>SUMPRODUCT((ISNUMBER(SEARCH("{"&amp;D123&amp;",",INDEX(Rohdaten!$A$2:$GG$19999,,MATCH(C123,Rohdaten!$1:$1,)))))+(ISNUMBER(SEARCH(","&amp;D123&amp;",",INDEX(Rohdaten!$A$2:$GG$19999,,MATCH(C123,Rohdaten!$1:$1,)))))*1)</f>
        <v>0</v>
      </c>
      <c r="G123" s="17"/>
      <c r="H123" s="17"/>
      <c r="I123" s="17"/>
    </row>
    <row r="124" spans="1:9" x14ac:dyDescent="0.25">
      <c r="A124" s="77"/>
      <c r="B124" s="77"/>
      <c r="C124" s="78" t="s">
        <v>242</v>
      </c>
      <c r="D124" s="77">
        <v>9</v>
      </c>
      <c r="E124" s="79" t="s">
        <v>216</v>
      </c>
      <c r="F124" s="36">
        <f>SUMPRODUCT((ISNUMBER(SEARCH("{"&amp;D124&amp;",",INDEX(Rohdaten!$A$2:$GG$19999,,MATCH(C124,Rohdaten!$1:$1,)))))+(ISNUMBER(SEARCH(","&amp;D124&amp;",",INDEX(Rohdaten!$A$2:$GG$19999,,MATCH(C124,Rohdaten!$1:$1,)))))*1)</f>
        <v>0</v>
      </c>
      <c r="G124" s="17"/>
      <c r="H124" s="17"/>
      <c r="I124" s="17"/>
    </row>
    <row r="125" spans="1:9" x14ac:dyDescent="0.25">
      <c r="A125" s="27" t="s">
        <v>306</v>
      </c>
      <c r="B125" s="27" t="s">
        <v>307</v>
      </c>
      <c r="C125" s="27" t="s">
        <v>334</v>
      </c>
      <c r="D125" s="27"/>
      <c r="E125" s="27" t="s">
        <v>45</v>
      </c>
      <c r="F125" s="58" t="e">
        <f>SUMPRODUCT((INDEX(Rohdaten!$A$2:$GG$19999,,MATCH(C126,Rohdaten!$1:$1,))="")*(Rohdaten!$A$2:$A$19999&lt;&gt;""))</f>
        <v>#N/A</v>
      </c>
      <c r="G125" s="27" t="e">
        <f>IF(MATCH(C125,$C:$C,0)=ROW(C125),SUM(F125:F130),"")</f>
        <v>#N/A</v>
      </c>
      <c r="H125" s="29" t="s">
        <v>335</v>
      </c>
    </row>
    <row r="126" spans="1:9" x14ac:dyDescent="0.25">
      <c r="A126" t="s">
        <v>306</v>
      </c>
      <c r="B126"/>
      <c r="C126" t="s">
        <v>334</v>
      </c>
      <c r="D126">
        <v>0</v>
      </c>
      <c r="E126" s="17" t="s">
        <v>341</v>
      </c>
      <c r="F126" s="60" t="e">
        <f>SUMPRODUCT((INDEX(Rohdaten!$A$2:$GG$19999,,MATCH(C126,Rohdaten!$1:$1,))&amp;""=D126&amp;"")*(Rohdaten!$A$2:$A$19999&lt;&gt;""))</f>
        <v>#N/A</v>
      </c>
      <c r="G126" t="str">
        <f>IF(MATCH(C126,$C:$C,0)=ROW(C126),SUM(F125:F128),"")</f>
        <v/>
      </c>
    </row>
    <row r="127" spans="1:9" x14ac:dyDescent="0.25">
      <c r="A127" t="s">
        <v>306</v>
      </c>
      <c r="B127"/>
      <c r="C127" t="s">
        <v>334</v>
      </c>
      <c r="D127">
        <v>6</v>
      </c>
      <c r="E127" t="str">
        <f>CONCATENATE(D126+1," bis ",D127," Monate")</f>
        <v>1 bis 6 Monate</v>
      </c>
      <c r="F127" s="21" t="e">
        <f>SUMPRODUCT((INDEX(Rohdaten!$A$2:$GG$19999,,MATCH(C127,Rohdaten!$1:$1,))&gt;D126)*(INDEX(Rohdaten!$A$2:$GG$19999,,MATCH(C127,Rohdaten!$1:$1,))&lt;=D127))</f>
        <v>#N/A</v>
      </c>
      <c r="G127" t="str">
        <f>IF(MATCH(C127,$C:$C,0)=ROW(C127),SUM(F126:F129),"")</f>
        <v/>
      </c>
    </row>
    <row r="128" spans="1:9" x14ac:dyDescent="0.25">
      <c r="A128" t="s">
        <v>306</v>
      </c>
      <c r="B128"/>
      <c r="C128" t="s">
        <v>334</v>
      </c>
      <c r="D128">
        <v>12</v>
      </c>
      <c r="E128" t="str">
        <f>CONCATENATE(D127+1," bis ",D128," Monate")</f>
        <v>7 bis 12 Monate</v>
      </c>
      <c r="F128" s="21" t="e">
        <f>SUMPRODUCT((INDEX(Rohdaten!$A$2:$GG$19999,,MATCH(C128,Rohdaten!$1:$1,))&gt;D127)*(INDEX(Rohdaten!$A$2:$GG$19999,,MATCH(C128,Rohdaten!$1:$1,))&lt;=D128))</f>
        <v>#N/A</v>
      </c>
      <c r="G128" t="str">
        <f>IF(MATCH(C128,$C:$C,0)=ROW(C128),SUM(F127:F318),"")</f>
        <v/>
      </c>
    </row>
    <row r="129" spans="1:9" x14ac:dyDescent="0.25">
      <c r="A129" t="s">
        <v>306</v>
      </c>
      <c r="B129"/>
      <c r="C129" t="s">
        <v>334</v>
      </c>
      <c r="D129">
        <v>24</v>
      </c>
      <c r="E129" t="str">
        <f>CONCATENATE(D128+1," bis ",D129," Monate")</f>
        <v>13 bis 24 Monate</v>
      </c>
      <c r="F129" s="21" t="e">
        <f>SUMPRODUCT((INDEX(Rohdaten!$A$2:$GG$19999,,MATCH(C129,Rohdaten!$1:$1,))&gt;D128)*(INDEX(Rohdaten!$A$2:$GG$19999,,MATCH(C129,Rohdaten!$1:$1,))&lt;=D129))</f>
        <v>#N/A</v>
      </c>
      <c r="G129" t="str">
        <f>IF(MATCH(C129,$C:$C,0)=ROW(C129),SUM(F128:F318),"")</f>
        <v/>
      </c>
    </row>
    <row r="130" spans="1:9" x14ac:dyDescent="0.25">
      <c r="A130" t="s">
        <v>306</v>
      </c>
      <c r="B130"/>
      <c r="C130" t="s">
        <v>334</v>
      </c>
      <c r="D130">
        <v>26</v>
      </c>
      <c r="E130" s="17" t="str">
        <f>CONCATENATE("mehr als ",D129," Monate")</f>
        <v>mehr als 24 Monate</v>
      </c>
      <c r="F130" s="60" t="e">
        <f>SUMPRODUCT((INDEX(Rohdaten!$A$2:$GG$19999,,MATCH(C130,Rohdaten!$1:$1,))&gt;D129)*(Rohdaten!$A$2:$A$19999&lt;&gt;""))</f>
        <v>#N/A</v>
      </c>
      <c r="G130" t="str">
        <f>IF(MATCH(C130,$C:$C,0)=ROW(C130),SUM(F129:F318),"")</f>
        <v/>
      </c>
    </row>
    <row r="131" spans="1:9" x14ac:dyDescent="0.25">
      <c r="A131"/>
      <c r="B131"/>
    </row>
    <row r="132" spans="1:9" x14ac:dyDescent="0.25">
      <c r="A132" t="s">
        <v>306</v>
      </c>
      <c r="B132"/>
      <c r="C132" t="s">
        <v>334</v>
      </c>
      <c r="D132">
        <v>0</v>
      </c>
      <c r="F132" s="4" t="e">
        <f>SUMPRODUCT((INDEX(Rohdaten!$A$2:$GG$19999,,MATCH(C132,Rohdaten!$1:$1,))&amp;""=D132&amp;"")*(Rohdaten!$A$2:$A$19999&lt;&gt;""))</f>
        <v>#N/A</v>
      </c>
    </row>
    <row r="133" spans="1:9" x14ac:dyDescent="0.25">
      <c r="A133" t="s">
        <v>306</v>
      </c>
      <c r="B133"/>
      <c r="C133" t="s">
        <v>334</v>
      </c>
      <c r="D133">
        <v>1</v>
      </c>
      <c r="F133" s="4" t="e">
        <f>SUMPRODUCT((INDEX(Rohdaten!$A$2:$GG$19999,,MATCH(C133,Rohdaten!$1:$1,))&amp;""=D133&amp;"")*(Rohdaten!$A$2:$A$19999&lt;&gt;""))</f>
        <v>#N/A</v>
      </c>
      <c r="G133" t="e">
        <f>SUM(F133:F138)</f>
        <v>#N/A</v>
      </c>
      <c r="H133" t="e">
        <f>IF(G133=F127,"Prüfwert ok","Fehler")</f>
        <v>#N/A</v>
      </c>
    </row>
    <row r="134" spans="1:9" x14ac:dyDescent="0.25">
      <c r="A134" t="s">
        <v>306</v>
      </c>
      <c r="B134"/>
      <c r="C134" t="s">
        <v>334</v>
      </c>
      <c r="D134">
        <v>2</v>
      </c>
      <c r="F134" s="4" t="e">
        <f>SUMPRODUCT((INDEX(Rohdaten!$A$2:$GG$19999,,MATCH(C134,Rohdaten!$1:$1,))&amp;""=D134&amp;"")*(Rohdaten!$A$2:$A$19999&lt;&gt;""))</f>
        <v>#N/A</v>
      </c>
    </row>
    <row r="135" spans="1:9" x14ac:dyDescent="0.25">
      <c r="A135" t="s">
        <v>306</v>
      </c>
      <c r="B135"/>
      <c r="C135" t="s">
        <v>334</v>
      </c>
      <c r="D135">
        <v>3</v>
      </c>
      <c r="F135" s="4" t="e">
        <f>SUMPRODUCT((INDEX(Rohdaten!$A$2:$GG$19999,,MATCH(C135,Rohdaten!$1:$1,))&amp;""=D135&amp;"")*(Rohdaten!$A$2:$A$19999&lt;&gt;""))</f>
        <v>#N/A</v>
      </c>
    </row>
    <row r="136" spans="1:9" x14ac:dyDescent="0.25">
      <c r="A136" t="s">
        <v>306</v>
      </c>
      <c r="B136"/>
      <c r="C136" t="s">
        <v>334</v>
      </c>
      <c r="D136">
        <v>4</v>
      </c>
      <c r="F136" s="4" t="e">
        <f>SUMPRODUCT((INDEX(Rohdaten!$A$2:$GG$19999,,MATCH(C136,Rohdaten!$1:$1,))&amp;""=D136&amp;"")*(Rohdaten!$A$2:$A$19999&lt;&gt;""))</f>
        <v>#N/A</v>
      </c>
    </row>
    <row r="137" spans="1:9" x14ac:dyDescent="0.25">
      <c r="A137" t="s">
        <v>306</v>
      </c>
      <c r="B137"/>
      <c r="C137" t="s">
        <v>334</v>
      </c>
      <c r="D137">
        <v>5</v>
      </c>
      <c r="F137" s="4" t="e">
        <f>SUMPRODUCT((INDEX(Rohdaten!$A$2:$GG$19999,,MATCH(C137,Rohdaten!$1:$1,))&amp;""=D137&amp;"")*(Rohdaten!$A$2:$A$19999&lt;&gt;""))</f>
        <v>#N/A</v>
      </c>
    </row>
    <row r="138" spans="1:9" x14ac:dyDescent="0.25">
      <c r="A138" t="s">
        <v>306</v>
      </c>
      <c r="B138"/>
      <c r="C138" t="s">
        <v>334</v>
      </c>
      <c r="D138">
        <v>6</v>
      </c>
      <c r="F138" s="4" t="e">
        <f>SUMPRODUCT((INDEX(Rohdaten!$A$2:$GG$19999,,MATCH(C138,Rohdaten!$1:$1,))&amp;""=D138&amp;"")*(Rohdaten!$A$2:$A$19999&lt;&gt;""))</f>
        <v>#N/A</v>
      </c>
    </row>
    <row r="139" spans="1:9" x14ac:dyDescent="0.25">
      <c r="A139" s="61"/>
      <c r="B139" s="61" t="s">
        <v>356</v>
      </c>
      <c r="C139" s="61"/>
      <c r="D139" s="61"/>
      <c r="E139" s="61" t="s">
        <v>358</v>
      </c>
      <c r="F139" s="62" t="e">
        <f>COUNTIF(INDEX(Rohdaten!$A$2:$GG$19999,,MATCH("year_of_entry",Rohdaten!$1:$1,)),"&gt;=2019")</f>
        <v>#N/A</v>
      </c>
      <c r="G139" s="61"/>
      <c r="H139" s="61"/>
    </row>
    <row r="140" spans="1:9" x14ac:dyDescent="0.25">
      <c r="A140" s="61"/>
      <c r="B140" s="61"/>
      <c r="C140" s="61"/>
      <c r="D140" s="61"/>
      <c r="E140" s="61" t="s">
        <v>359</v>
      </c>
      <c r="F140" s="62" t="e">
        <f>COUNTIF(INDEX(Rohdaten!$A$2:$GG$19999,,MATCH("year_of_exit",Rohdaten!$1:$1,)),"&gt;=2019")</f>
        <v>#N/A</v>
      </c>
      <c r="G140" s="61"/>
      <c r="H140" s="61"/>
    </row>
    <row r="141" spans="1:9" x14ac:dyDescent="0.25">
      <c r="A141" s="63" t="s">
        <v>157</v>
      </c>
      <c r="B141" s="63" t="s">
        <v>357</v>
      </c>
      <c r="C141" s="63" t="s">
        <v>347</v>
      </c>
      <c r="D141" s="63"/>
      <c r="E141" s="63" t="s">
        <v>45</v>
      </c>
      <c r="F141" s="63" t="e">
        <f>SUMPRODUCT((INDEX(Rohdaten!$A$2:$GG$19999,,MATCH(C141,Rohdaten!$1:$1,))&amp;""=D141&amp;"")*(Rohdaten!$A$2:$A$19999&lt;&gt;""))</f>
        <v>#N/A</v>
      </c>
      <c r="G141" s="63" t="e">
        <f>IF(MATCH(C141,$C:$C,0)=ROW(C141),SUM(F141:F148),"")</f>
        <v>#N/A</v>
      </c>
      <c r="H141" s="63" t="e">
        <f>CONCATENATE("[Filter]: TN der 2 Förderphase (n=",$F$139,")")</f>
        <v>#N/A</v>
      </c>
      <c r="I141" t="s">
        <v>379</v>
      </c>
    </row>
    <row r="142" spans="1:9" x14ac:dyDescent="0.25">
      <c r="A142" s="2"/>
      <c r="C142" t="s">
        <v>347</v>
      </c>
      <c r="D142" s="3">
        <v>1</v>
      </c>
      <c r="E142" s="24" t="s">
        <v>402</v>
      </c>
      <c r="F142" s="4" t="e">
        <f>SUMPRODUCT((INDEX(Rohdaten!$A$2:$GG$19999,,MATCH(C142,Rohdaten!$1:$1,))&amp;""=D142&amp;"")*(Rohdaten!$A$2:$A$19999&lt;&gt;""))</f>
        <v>#N/A</v>
      </c>
      <c r="G142" s="4" t="str">
        <f>IF(MATCH(C142,$C:$C,0)=ROW(C142),SUM(F142:F145),"")</f>
        <v/>
      </c>
      <c r="H142" s="65"/>
    </row>
    <row r="143" spans="1:9" x14ac:dyDescent="0.25">
      <c r="A143" s="2"/>
      <c r="C143" t="s">
        <v>347</v>
      </c>
      <c r="D143" s="3">
        <v>2</v>
      </c>
      <c r="E143" s="24" t="s">
        <v>403</v>
      </c>
      <c r="F143" s="4" t="e">
        <f>SUMPRODUCT((INDEX(Rohdaten!$A$2:$GG$19999,,MATCH(C143,Rohdaten!$1:$1,))&amp;""=D143&amp;"")*(Rohdaten!$A$2:$A$19999&lt;&gt;""))</f>
        <v>#N/A</v>
      </c>
      <c r="G143" s="4" t="str">
        <f>IF(MATCH(C143,$C:$C,0)=ROW(C143),SUM(F143:F146),"")</f>
        <v/>
      </c>
    </row>
    <row r="144" spans="1:9" x14ac:dyDescent="0.25">
      <c r="A144" s="2"/>
      <c r="D144" s="3"/>
      <c r="E144" s="24" t="e">
        <f>CONCATENATE("c) Erwerbstätige Personen mit Familien- bzw. Pflegeaufgaben (n=",SUM(F145:F148),")")</f>
        <v>#N/A</v>
      </c>
      <c r="F144" s="4"/>
      <c r="G144" s="4"/>
    </row>
    <row r="145" spans="1:9" x14ac:dyDescent="0.25">
      <c r="A145" s="2"/>
      <c r="C145" t="s">
        <v>347</v>
      </c>
      <c r="D145" s="3">
        <v>3</v>
      </c>
      <c r="E145" t="s">
        <v>398</v>
      </c>
      <c r="F145" s="4" t="e">
        <f>SUMPRODUCT((INDEX(Rohdaten!$A$2:$GG$19999,,MATCH(C145,Rohdaten!$1:$1,))&amp;""=D145&amp;"")*(Rohdaten!$A$2:$A$19999&lt;&gt;""))</f>
        <v>#N/A</v>
      </c>
      <c r="G145" s="4" t="str">
        <f>IF(MATCH(C145,$C:$C,0)=ROW(C145),SUM(F145:F147),"")</f>
        <v/>
      </c>
    </row>
    <row r="146" spans="1:9" x14ac:dyDescent="0.25">
      <c r="A146" s="2"/>
      <c r="C146" t="s">
        <v>347</v>
      </c>
      <c r="D146" s="3">
        <v>4</v>
      </c>
      <c r="E146" t="s">
        <v>399</v>
      </c>
      <c r="F146" s="4" t="e">
        <f>SUMPRODUCT((INDEX(Rohdaten!$A$2:$GG$19999,,MATCH(C146,Rohdaten!$1:$1,))&amp;""=D146&amp;"")*(Rohdaten!$A$2:$A$19999&lt;&gt;""))</f>
        <v>#N/A</v>
      </c>
    </row>
    <row r="147" spans="1:9" x14ac:dyDescent="0.25">
      <c r="A147" s="2"/>
      <c r="C147" t="s">
        <v>347</v>
      </c>
      <c r="D147" s="3">
        <v>5</v>
      </c>
      <c r="E147" t="s">
        <v>400</v>
      </c>
      <c r="F147" s="4" t="e">
        <f>SUMPRODUCT((INDEX(Rohdaten!$A$2:$GG$19999,,MATCH(C147,Rohdaten!$1:$1,))&amp;""=D147&amp;"")*(Rohdaten!$A$2:$A$19999&lt;&gt;""))</f>
        <v>#N/A</v>
      </c>
    </row>
    <row r="148" spans="1:9" x14ac:dyDescent="0.25">
      <c r="A148" s="2"/>
      <c r="C148" t="s">
        <v>347</v>
      </c>
      <c r="D148" s="3">
        <v>6</v>
      </c>
      <c r="E148" t="s">
        <v>401</v>
      </c>
      <c r="F148" s="4" t="e">
        <f>SUMPRODUCT((INDEX(Rohdaten!$A$2:$GG$19999,,MATCH(C148,Rohdaten!$1:$1,))&amp;""=D148&amp;"")*(Rohdaten!$A$2:$A$19999&lt;&gt;""))</f>
        <v>#N/A</v>
      </c>
    </row>
    <row r="149" spans="1:9" s="65" customFormat="1" x14ac:dyDescent="0.25">
      <c r="C149" s="65" t="s">
        <v>347</v>
      </c>
      <c r="E149" s="75" t="s">
        <v>383</v>
      </c>
      <c r="F149" s="65" t="e">
        <f>SUMPRODUCT((INDEX(Rohdaten!$A$2:$GG$19999,,MATCH(C149,Rohdaten!$1:$1,))&amp;""=D149&amp;"")*(INDEX(Rohdaten!$A$2:$GG$19999,,MATCH("year_of_entry",Rohdaten!$1:$1,))&gt;=2019))</f>
        <v>#N/A</v>
      </c>
    </row>
    <row r="150" spans="1:9" x14ac:dyDescent="0.25">
      <c r="A150" s="63" t="s">
        <v>385</v>
      </c>
      <c r="B150" s="63" t="e">
        <f>CONCATENATE("Einschlägigste Berufserfahrung/Branche (n=",F139,")")</f>
        <v>#N/A</v>
      </c>
      <c r="C150" s="63" t="s">
        <v>344</v>
      </c>
      <c r="D150" s="63"/>
      <c r="E150" s="63" t="s">
        <v>45</v>
      </c>
      <c r="F150" s="63" t="e">
        <f>SUMPRODUCT((INDEX(Rohdaten!$A$2:$GG$19999,,MATCH(C150,Rohdaten!$1:$1,))&amp;""=D150&amp;"")*(Rohdaten!$A$2:$A$19999&lt;&gt;""))</f>
        <v>#N/A</v>
      </c>
      <c r="G150" s="64" t="e">
        <f>IF(MATCH(C150,$C:$C,0)=ROW(C150),SUM(F150:F167),"")</f>
        <v>#N/A</v>
      </c>
      <c r="H150" s="63" t="e">
        <f>CONCATENATE("[Filter]: TN der 2 Förderphase (n=",$F$139,")")</f>
        <v>#N/A</v>
      </c>
      <c r="I150" t="s">
        <v>379</v>
      </c>
    </row>
    <row r="151" spans="1:9" x14ac:dyDescent="0.25">
      <c r="A151" s="2"/>
      <c r="C151" t="s">
        <v>344</v>
      </c>
      <c r="D151" s="73">
        <v>1</v>
      </c>
      <c r="E151" t="s">
        <v>361</v>
      </c>
      <c r="F151" s="4" t="e">
        <f>SUMPRODUCT((INDEX(Rohdaten!$A$2:$GG$19999,,MATCH(C151,Rohdaten!$1:$1,))&amp;""=D151&amp;"")*(Rohdaten!$A$2:$A$19999&lt;&gt;""))</f>
        <v>#N/A</v>
      </c>
      <c r="G151" s="19" t="e">
        <f t="shared" ref="G151:G167" si="4">F151/(SUM($F$151:$F$167))</f>
        <v>#N/A</v>
      </c>
    </row>
    <row r="152" spans="1:9" x14ac:dyDescent="0.25">
      <c r="A152" s="59"/>
      <c r="C152" t="s">
        <v>344</v>
      </c>
      <c r="D152" s="73">
        <v>2</v>
      </c>
      <c r="E152" t="s">
        <v>368</v>
      </c>
      <c r="F152" s="4" t="e">
        <f>SUMPRODUCT((INDEX(Rohdaten!$A$2:$GG$19999,,MATCH(C152,Rohdaten!$1:$1,))&amp;""=D152&amp;"")*(Rohdaten!$A$2:$A$19999&lt;&gt;""))</f>
        <v>#N/A</v>
      </c>
      <c r="G152" s="19" t="e">
        <f t="shared" si="4"/>
        <v>#N/A</v>
      </c>
    </row>
    <row r="153" spans="1:9" x14ac:dyDescent="0.25">
      <c r="A153" s="59"/>
      <c r="C153" t="s">
        <v>344</v>
      </c>
      <c r="D153" s="73">
        <v>3</v>
      </c>
      <c r="E153" t="s">
        <v>374</v>
      </c>
      <c r="F153" s="4" t="e">
        <f>SUMPRODUCT((INDEX(Rohdaten!$A$2:$GG$19999,,MATCH(C153,Rohdaten!$1:$1,))&amp;""=D153&amp;"")*(Rohdaten!$A$2:$A$19999&lt;&gt;""))</f>
        <v>#N/A</v>
      </c>
      <c r="G153" s="19" t="e">
        <f t="shared" si="4"/>
        <v>#N/A</v>
      </c>
    </row>
    <row r="154" spans="1:9" x14ac:dyDescent="0.25">
      <c r="A154" s="59"/>
      <c r="C154" t="s">
        <v>344</v>
      </c>
      <c r="D154" s="73">
        <v>7</v>
      </c>
      <c r="E154" t="s">
        <v>375</v>
      </c>
      <c r="F154" s="4" t="e">
        <f>SUMPRODUCT((INDEX(Rohdaten!$A$2:$GG$19999,,MATCH(C154,Rohdaten!$1:$1,))&amp;""=D154&amp;"")*(Rohdaten!$A$2:$A$19999&lt;&gt;""))</f>
        <v>#N/A</v>
      </c>
      <c r="G154" s="19" t="e">
        <f t="shared" si="4"/>
        <v>#N/A</v>
      </c>
    </row>
    <row r="155" spans="1:9" x14ac:dyDescent="0.25">
      <c r="A155" s="59"/>
      <c r="C155" t="s">
        <v>344</v>
      </c>
      <c r="D155" s="73">
        <v>8</v>
      </c>
      <c r="E155" t="s">
        <v>376</v>
      </c>
      <c r="F155" s="4" t="e">
        <f>SUMPRODUCT((INDEX(Rohdaten!$A$2:$GG$19999,,MATCH(C155,Rohdaten!$1:$1,))&amp;""=D155&amp;"")*(Rohdaten!$A$2:$A$19999&lt;&gt;""))</f>
        <v>#N/A</v>
      </c>
      <c r="G155" s="19" t="e">
        <f t="shared" si="4"/>
        <v>#N/A</v>
      </c>
    </row>
    <row r="156" spans="1:9" x14ac:dyDescent="0.25">
      <c r="A156" s="59"/>
      <c r="C156" t="s">
        <v>344</v>
      </c>
      <c r="D156" s="73">
        <v>9</v>
      </c>
      <c r="E156" t="s">
        <v>377</v>
      </c>
      <c r="F156" s="4" t="e">
        <f>SUMPRODUCT((INDEX(Rohdaten!$A$2:$GG$19999,,MATCH(C156,Rohdaten!$1:$1,))&amp;""=D156&amp;"")*(Rohdaten!$A$2:$A$19999&lt;&gt;""))</f>
        <v>#N/A</v>
      </c>
      <c r="G156" s="19" t="e">
        <f t="shared" si="4"/>
        <v>#N/A</v>
      </c>
    </row>
    <row r="157" spans="1:9" x14ac:dyDescent="0.25">
      <c r="A157" s="59"/>
      <c r="C157" t="s">
        <v>344</v>
      </c>
      <c r="D157" s="73">
        <v>10</v>
      </c>
      <c r="E157" s="24" t="s">
        <v>362</v>
      </c>
      <c r="F157" s="4" t="e">
        <f>SUMPRODUCT((INDEX(Rohdaten!$A$2:$GG$19999,,MATCH(C157,Rohdaten!$1:$1,))&amp;""=D157&amp;"")*(Rohdaten!$A$2:$A$19999&lt;&gt;""))</f>
        <v>#N/A</v>
      </c>
      <c r="G157" s="19" t="e">
        <f t="shared" si="4"/>
        <v>#N/A</v>
      </c>
      <c r="H157" s="24"/>
    </row>
    <row r="158" spans="1:9" x14ac:dyDescent="0.25">
      <c r="A158" s="59"/>
      <c r="C158" t="s">
        <v>344</v>
      </c>
      <c r="D158" s="73">
        <v>15</v>
      </c>
      <c r="E158" s="24" t="s">
        <v>363</v>
      </c>
      <c r="F158" s="4" t="e">
        <f>SUMPRODUCT((INDEX(Rohdaten!$A$2:$GG$19999,,MATCH(C158,Rohdaten!$1:$1,))&amp;""=D158&amp;"")*(Rohdaten!$A$2:$A$19999&lt;&gt;""))</f>
        <v>#N/A</v>
      </c>
      <c r="G158" s="19" t="e">
        <f t="shared" si="4"/>
        <v>#N/A</v>
      </c>
      <c r="H158" s="24"/>
    </row>
    <row r="159" spans="1:9" x14ac:dyDescent="0.25">
      <c r="A159" s="59"/>
      <c r="C159" t="s">
        <v>344</v>
      </c>
      <c r="D159" s="73">
        <v>16</v>
      </c>
      <c r="E159" s="24" t="s">
        <v>364</v>
      </c>
      <c r="F159" s="4" t="e">
        <f>SUMPRODUCT((INDEX(Rohdaten!$A$2:$GG$19999,,MATCH(C159,Rohdaten!$1:$1,))&amp;""=D159&amp;"")*(Rohdaten!$A$2:$A$19999&lt;&gt;""))</f>
        <v>#N/A</v>
      </c>
      <c r="G159" s="19" t="e">
        <f t="shared" si="4"/>
        <v>#N/A</v>
      </c>
      <c r="H159" s="24"/>
    </row>
    <row r="160" spans="1:9" x14ac:dyDescent="0.25">
      <c r="A160" s="59"/>
      <c r="C160" t="s">
        <v>344</v>
      </c>
      <c r="D160" s="73">
        <v>17</v>
      </c>
      <c r="E160" s="24" t="s">
        <v>365</v>
      </c>
      <c r="F160" s="4" t="e">
        <f>SUMPRODUCT((INDEX(Rohdaten!$A$2:$GG$19999,,MATCH(C160,Rohdaten!$1:$1,))&amp;""=D160&amp;"")*(Rohdaten!$A$2:$A$19999&lt;&gt;""))</f>
        <v>#N/A</v>
      </c>
      <c r="G160" s="19" t="e">
        <f t="shared" si="4"/>
        <v>#N/A</v>
      </c>
      <c r="H160" s="24"/>
    </row>
    <row r="161" spans="1:9" x14ac:dyDescent="0.25">
      <c r="A161" s="59"/>
      <c r="C161" t="s">
        <v>344</v>
      </c>
      <c r="D161" s="73">
        <v>18</v>
      </c>
      <c r="E161" s="24" t="s">
        <v>366</v>
      </c>
      <c r="F161" s="4" t="e">
        <f>SUMPRODUCT((INDEX(Rohdaten!$A$2:$GG$19999,,MATCH(C161,Rohdaten!$1:$1,))&amp;""=D161&amp;"")*(Rohdaten!$A$2:$A$19999&lt;&gt;""))</f>
        <v>#N/A</v>
      </c>
      <c r="G161" s="19" t="e">
        <f t="shared" si="4"/>
        <v>#N/A</v>
      </c>
      <c r="H161" s="24"/>
    </row>
    <row r="162" spans="1:9" x14ac:dyDescent="0.25">
      <c r="A162" s="59"/>
      <c r="C162" t="s">
        <v>344</v>
      </c>
      <c r="D162" s="73">
        <v>19</v>
      </c>
      <c r="E162" s="24" t="s">
        <v>367</v>
      </c>
      <c r="F162" s="4" t="e">
        <f>SUMPRODUCT((INDEX(Rohdaten!$A$2:$GG$19999,,MATCH(C162,Rohdaten!$1:$1,))&amp;""=D162&amp;"")*(Rohdaten!$A$2:$A$19999&lt;&gt;""))</f>
        <v>#N/A</v>
      </c>
      <c r="G162" s="19" t="e">
        <f t="shared" si="4"/>
        <v>#N/A</v>
      </c>
      <c r="H162" s="24"/>
    </row>
    <row r="163" spans="1:9" x14ac:dyDescent="0.25">
      <c r="A163" s="59"/>
      <c r="C163" t="s">
        <v>344</v>
      </c>
      <c r="D163" s="73">
        <v>22</v>
      </c>
      <c r="E163" s="24" t="s">
        <v>369</v>
      </c>
      <c r="F163" s="4" t="e">
        <f>SUMPRODUCT((INDEX(Rohdaten!$A$2:$GG$19999,,MATCH(C163,Rohdaten!$1:$1,))&amp;""=D163&amp;"")*(Rohdaten!$A$2:$A$19999&lt;&gt;""))</f>
        <v>#N/A</v>
      </c>
      <c r="G163" s="19" t="e">
        <f t="shared" si="4"/>
        <v>#N/A</v>
      </c>
      <c r="H163" s="24"/>
    </row>
    <row r="164" spans="1:9" x14ac:dyDescent="0.25">
      <c r="A164" s="59"/>
      <c r="C164" t="s">
        <v>344</v>
      </c>
      <c r="D164" s="73">
        <v>23</v>
      </c>
      <c r="E164" s="24" t="s">
        <v>370</v>
      </c>
      <c r="F164" s="4" t="e">
        <f>SUMPRODUCT((INDEX(Rohdaten!$A$2:$GG$19999,,MATCH(C164,Rohdaten!$1:$1,))&amp;""=D164&amp;"")*(Rohdaten!$A$2:$A$19999&lt;&gt;""))</f>
        <v>#N/A</v>
      </c>
      <c r="G164" s="19" t="e">
        <f t="shared" si="4"/>
        <v>#N/A</v>
      </c>
      <c r="H164" s="24"/>
    </row>
    <row r="165" spans="1:9" x14ac:dyDescent="0.25">
      <c r="A165" s="59"/>
      <c r="C165" t="s">
        <v>344</v>
      </c>
      <c r="D165" s="73">
        <v>24</v>
      </c>
      <c r="E165" s="24" t="s">
        <v>371</v>
      </c>
      <c r="F165" s="4" t="e">
        <f>SUMPRODUCT((INDEX(Rohdaten!$A$2:$GG$19999,,MATCH(C165,Rohdaten!$1:$1,))&amp;""=D165&amp;"")*(Rohdaten!$A$2:$A$19999&lt;&gt;""))</f>
        <v>#N/A</v>
      </c>
      <c r="G165" s="19" t="e">
        <f t="shared" si="4"/>
        <v>#N/A</v>
      </c>
      <c r="H165" s="24"/>
    </row>
    <row r="166" spans="1:9" x14ac:dyDescent="0.25">
      <c r="A166" s="59"/>
      <c r="C166" t="s">
        <v>344</v>
      </c>
      <c r="D166" s="73">
        <v>25</v>
      </c>
      <c r="E166" s="24" t="s">
        <v>372</v>
      </c>
      <c r="F166" s="4" t="e">
        <f>SUMPRODUCT((INDEX(Rohdaten!$A$2:$GG$19999,,MATCH(C166,Rohdaten!$1:$1,))&amp;""=D166&amp;"")*(Rohdaten!$A$2:$A$19999&lt;&gt;""))</f>
        <v>#N/A</v>
      </c>
      <c r="G166" s="19" t="e">
        <f t="shared" si="4"/>
        <v>#N/A</v>
      </c>
      <c r="H166" s="24"/>
    </row>
    <row r="167" spans="1:9" x14ac:dyDescent="0.25">
      <c r="A167" s="59"/>
      <c r="C167" t="s">
        <v>344</v>
      </c>
      <c r="D167" s="73">
        <v>26</v>
      </c>
      <c r="E167" s="24" t="s">
        <v>373</v>
      </c>
      <c r="F167" s="4" t="e">
        <f>SUMPRODUCT((INDEX(Rohdaten!$A$2:$GG$19999,,MATCH(C167,Rohdaten!$1:$1,))&amp;""=D167&amp;"")*(Rohdaten!$A$2:$A$19999&lt;&gt;""))</f>
        <v>#N/A</v>
      </c>
      <c r="G167" s="19" t="e">
        <f t="shared" si="4"/>
        <v>#N/A</v>
      </c>
      <c r="H167" s="24"/>
    </row>
    <row r="168" spans="1:9" x14ac:dyDescent="0.25">
      <c r="A168" s="59"/>
      <c r="E168" s="74" t="s">
        <v>383</v>
      </c>
      <c r="F168" s="4" t="e">
        <f>$F$139-SUM(F151:F167)</f>
        <v>#N/A</v>
      </c>
      <c r="G168" s="24"/>
    </row>
    <row r="169" spans="1:9" x14ac:dyDescent="0.25">
      <c r="A169" s="63"/>
      <c r="B169" s="63" t="s">
        <v>378</v>
      </c>
      <c r="C169" s="63" t="s">
        <v>345</v>
      </c>
      <c r="D169" s="63"/>
      <c r="E169" s="64" t="s">
        <v>45</v>
      </c>
      <c r="F169" s="64" t="e">
        <f>SUMPRODUCT((INDEX(Rohdaten!$A$2:$GG$19999,,MATCH(C169,Rohdaten!$1:$1,))&amp;""=D169&amp;"")*(Rohdaten!$A$2:$A$19999&lt;&gt;""))</f>
        <v>#N/A</v>
      </c>
      <c r="G169" s="64" t="e">
        <f>IF(MATCH(C169,$C:$C,0)=ROW(C169),SUM(F169:F171),"")</f>
        <v>#N/A</v>
      </c>
      <c r="H169" s="63" t="e">
        <f>CONCATENATE("[Filter: Branche Bildung und Erziehung (n=",SUM(F170:F172),")")</f>
        <v>#N/A</v>
      </c>
      <c r="I169" t="s">
        <v>379</v>
      </c>
    </row>
    <row r="170" spans="1:9" x14ac:dyDescent="0.25">
      <c r="C170" t="s">
        <v>345</v>
      </c>
      <c r="D170" s="73">
        <v>0</v>
      </c>
      <c r="E170" s="24" t="s">
        <v>46</v>
      </c>
      <c r="F170" s="4" t="e">
        <f>SUMPRODUCT((INDEX(Rohdaten!$A$2:$GG$19999,,MATCH(C170,Rohdaten!$1:$1,))&amp;""=D170&amp;"")*(Rohdaten!$A$2:$A$19999&lt;&gt;""))</f>
        <v>#N/A</v>
      </c>
      <c r="G170" s="24"/>
    </row>
    <row r="171" spans="1:9" x14ac:dyDescent="0.25">
      <c r="C171" t="s">
        <v>345</v>
      </c>
      <c r="D171">
        <v>1</v>
      </c>
      <c r="E171" s="24" t="s">
        <v>47</v>
      </c>
      <c r="F171" s="4" t="e">
        <f>SUMPRODUCT((INDEX(Rohdaten!$A$2:$GG$19999,,MATCH(C171,Rohdaten!$1:$1,))&amp;""=D171&amp;"")*(Rohdaten!$A$2:$A$19999&lt;&gt;""))</f>
        <v>#N/A</v>
      </c>
      <c r="G171" s="24"/>
      <c r="H171" s="24"/>
    </row>
    <row r="172" spans="1:9" x14ac:dyDescent="0.25">
      <c r="E172" s="74" t="s">
        <v>380</v>
      </c>
      <c r="F172" s="24" t="e">
        <f>F159-F170-F171</f>
        <v>#N/A</v>
      </c>
      <c r="G172" s="24"/>
      <c r="H172" s="24"/>
    </row>
    <row r="173" spans="1:9" x14ac:dyDescent="0.25">
      <c r="A173" s="63"/>
      <c r="B173" s="63" t="s">
        <v>381</v>
      </c>
      <c r="C173" s="63" t="s">
        <v>346</v>
      </c>
      <c r="D173" s="63"/>
      <c r="E173" s="64" t="s">
        <v>45</v>
      </c>
      <c r="F173" s="64" t="e">
        <f>SUMPRODUCT((INDEX(Rohdaten!$A$2:$GG$19999,,MATCH(C173,Rohdaten!$1:$1,))&amp;""=D173&amp;"")*(Rohdaten!$A$2:$A$19999&lt;&gt;""))</f>
        <v>#N/A</v>
      </c>
      <c r="G173" s="64" t="e">
        <f>IF(MATCH(C173,$C:$C,0)=ROW(C173),SUM(F173:F175),"")</f>
        <v>#N/A</v>
      </c>
      <c r="H173" s="63" t="e">
        <f>CONCATENATE("[Filter: Branche  Gesundheit und Sozialwesen (n=",SUM(F174:F176),")")</f>
        <v>#N/A</v>
      </c>
      <c r="I173" t="s">
        <v>379</v>
      </c>
    </row>
    <row r="174" spans="1:9" x14ac:dyDescent="0.25">
      <c r="C174" t="s">
        <v>346</v>
      </c>
      <c r="D174" s="73">
        <v>0</v>
      </c>
      <c r="E174" s="24" t="s">
        <v>46</v>
      </c>
      <c r="F174" s="4" t="e">
        <f>SUMPRODUCT((INDEX(Rohdaten!$A$2:$GG$19999,,MATCH(C174,Rohdaten!$1:$1,))&amp;""=D174&amp;"")*(Rohdaten!$A$2:$A$19999&lt;&gt;""))</f>
        <v>#N/A</v>
      </c>
      <c r="G174" s="24"/>
    </row>
    <row r="175" spans="1:9" x14ac:dyDescent="0.25">
      <c r="C175" t="s">
        <v>346</v>
      </c>
      <c r="D175">
        <v>1</v>
      </c>
      <c r="E175" s="24" t="s">
        <v>47</v>
      </c>
      <c r="F175" s="4" t="e">
        <f>SUMPRODUCT((INDEX(Rohdaten!$A$2:$GG$19999,,MATCH(C175,Rohdaten!$1:$1,))&amp;""=D175&amp;"")*(Rohdaten!$A$2:$A$19999&lt;&gt;""))</f>
        <v>#N/A</v>
      </c>
      <c r="G175" s="24"/>
      <c r="H175" s="24"/>
    </row>
    <row r="176" spans="1:9" x14ac:dyDescent="0.25">
      <c r="E176" s="74" t="s">
        <v>382</v>
      </c>
      <c r="F176" s="24" t="e">
        <f>F160-F174-F175</f>
        <v>#N/A</v>
      </c>
      <c r="G176" s="24"/>
      <c r="H176" s="24"/>
    </row>
    <row r="177" spans="1:9" x14ac:dyDescent="0.25">
      <c r="A177" s="63"/>
      <c r="B177" s="63" t="s">
        <v>112</v>
      </c>
      <c r="C177" s="63" t="s">
        <v>342</v>
      </c>
      <c r="D177" s="63"/>
      <c r="E177" s="63" t="s">
        <v>45</v>
      </c>
      <c r="F177" s="63" t="e">
        <f>SUMPRODUCT((INDEX(Rohdaten!$A$2:$GG$9999,,MATCH(C177,Rohdaten!$1:$1,))&amp;""=D177&amp;"")*(Rohdaten!$A$2:$A$9999&lt;&gt;""))</f>
        <v>#N/A</v>
      </c>
      <c r="G177" s="64" t="e">
        <f>IF(MATCH(C177,$C:$C,0)=ROW(C177),SUM(F177:F179),"")</f>
        <v>#N/A</v>
      </c>
      <c r="H177" s="63" t="e">
        <f>CONCATENATE("[Filter]: TN der 2 Förderphase (n=",$F$139,")")</f>
        <v>#N/A</v>
      </c>
      <c r="I177" t="s">
        <v>379</v>
      </c>
    </row>
    <row r="178" spans="1:9" x14ac:dyDescent="0.25">
      <c r="A178"/>
      <c r="B178"/>
      <c r="C178" s="4" t="s">
        <v>342</v>
      </c>
      <c r="D178" s="4">
        <v>2</v>
      </c>
      <c r="E178" s="4" t="s">
        <v>46</v>
      </c>
      <c r="F178" s="4" t="e">
        <f>SUMPRODUCT((INDEX(Rohdaten!$A$2:$GG$9999,,MATCH(C178,Rohdaten!$1:$1,))&amp;""=D178&amp;"")*(Rohdaten!$A$2:$A$9999&lt;&gt;""))</f>
        <v>#N/A</v>
      </c>
      <c r="G178" s="4" t="str">
        <f>IF(MATCH(C178,$C$177:$C$183,0)=ROW(C178),SUM(F178:F183),"")</f>
        <v/>
      </c>
    </row>
    <row r="179" spans="1:9" x14ac:dyDescent="0.25">
      <c r="A179"/>
      <c r="B179"/>
      <c r="C179" s="4" t="s">
        <v>342</v>
      </c>
      <c r="D179" s="4">
        <v>1</v>
      </c>
      <c r="E179" s="4" t="s">
        <v>47</v>
      </c>
      <c r="F179" s="4" t="e">
        <f>SUMPRODUCT((INDEX(Rohdaten!$A$2:$GG$9999,,MATCH(C179,Rohdaten!$1:$1,))&amp;""=D179&amp;"")*(Rohdaten!$A$2:$A$9999&lt;&gt;""))</f>
        <v>#N/A</v>
      </c>
      <c r="G179" s="4" t="str">
        <f>IF(MATCH(C179,$C$177:$C$183,0)=ROW(C179),SUM(F179:F183),"")</f>
        <v/>
      </c>
    </row>
    <row r="180" spans="1:9" x14ac:dyDescent="0.25">
      <c r="A180"/>
      <c r="B180"/>
      <c r="C180" s="4"/>
      <c r="D180" s="4"/>
      <c r="E180" s="74" t="s">
        <v>383</v>
      </c>
      <c r="F180" s="4" t="e">
        <f>$F$139-SUM(F178:F179)</f>
        <v>#N/A</v>
      </c>
      <c r="G180" s="4"/>
    </row>
    <row r="181" spans="1:9" x14ac:dyDescent="0.25">
      <c r="A181" s="63"/>
      <c r="B181" s="63" t="s">
        <v>97</v>
      </c>
      <c r="C181" s="63" t="s">
        <v>343</v>
      </c>
      <c r="D181" s="63"/>
      <c r="E181" s="63" t="s">
        <v>45</v>
      </c>
      <c r="F181" s="63" t="e">
        <f>SUMPRODUCT((INDEX(Rohdaten!$A$2:$GG$9999,,MATCH(C181,Rohdaten!$1:$1,))&amp;""=D181&amp;"")*(Rohdaten!$A$2:$A$9999&lt;&gt;""))</f>
        <v>#N/A</v>
      </c>
      <c r="G181" s="64" t="e">
        <f>IF(MATCH(C181,$C:$C,0)=ROW(C181),SUM(F181:F183),"")</f>
        <v>#N/A</v>
      </c>
      <c r="H181" s="63" t="e">
        <f>CONCATENATE("[Filter]: TN der 2 Förderphase (n=",$F$139,")")</f>
        <v>#N/A</v>
      </c>
      <c r="I181" t="s">
        <v>379</v>
      </c>
    </row>
    <row r="182" spans="1:9" x14ac:dyDescent="0.25">
      <c r="A182"/>
      <c r="B182"/>
      <c r="C182" s="4" t="s">
        <v>343</v>
      </c>
      <c r="D182" s="4">
        <v>2</v>
      </c>
      <c r="E182" s="4" t="s">
        <v>46</v>
      </c>
      <c r="F182" s="4" t="e">
        <f>SUMPRODUCT((INDEX(Rohdaten!$A$2:$GG$9999,,MATCH(C182,Rohdaten!$1:$1,))&amp;""=D182&amp;"")*(Rohdaten!$A$2:$A$9999&lt;&gt;""))</f>
        <v>#N/A</v>
      </c>
      <c r="G182" s="4" t="str">
        <f>IF(MATCH(C182,$C$177:$C$183,0)=ROW(C182),SUM(F182:F183),"")</f>
        <v/>
      </c>
      <c r="I182" s="21"/>
    </row>
    <row r="183" spans="1:9" x14ac:dyDescent="0.25">
      <c r="A183"/>
      <c r="B183"/>
      <c r="C183" s="4" t="s">
        <v>343</v>
      </c>
      <c r="D183" s="4">
        <v>1</v>
      </c>
      <c r="E183" s="4" t="s">
        <v>47</v>
      </c>
      <c r="F183" s="4" t="e">
        <f>SUMPRODUCT((INDEX(Rohdaten!$A$2:$GG$9999,,MATCH(C183,Rohdaten!$1:$1,))&amp;""=D183&amp;"")*(Rohdaten!$A$2:$A$9999&lt;&gt;""))</f>
        <v>#N/A</v>
      </c>
      <c r="G183" s="4" t="str">
        <f>IF(MATCH(C183,$C$177:$C$183,0)=ROW(C183),SUM(F183:F183),"")</f>
        <v/>
      </c>
    </row>
    <row r="184" spans="1:9" ht="15.75" x14ac:dyDescent="0.25">
      <c r="A184" s="59"/>
      <c r="C184" s="100"/>
      <c r="E184" s="74" t="s">
        <v>383</v>
      </c>
      <c r="F184" s="4" t="e">
        <f>$F$139-SUM(F182:F183)</f>
        <v>#N/A</v>
      </c>
    </row>
    <row r="185" spans="1:9" x14ac:dyDescent="0.25">
      <c r="A185" s="63"/>
      <c r="B185" s="63" t="s">
        <v>161</v>
      </c>
      <c r="C185" s="63" t="s">
        <v>348</v>
      </c>
      <c r="D185" s="63"/>
      <c r="E185" s="63" t="s">
        <v>45</v>
      </c>
      <c r="F185" s="63" t="e">
        <f>SUMPRODUCT((INDEX(Rohdaten!$A$2:$GG$9999,,MATCH(C185,Rohdaten!$1:$1,))&amp;""=D185&amp;"")*(Rohdaten!$A$2:$A$9999&lt;&gt;""))</f>
        <v>#N/A</v>
      </c>
      <c r="G185" s="64" t="e">
        <f>SUM(F185:F189)</f>
        <v>#N/A</v>
      </c>
      <c r="H185" s="63" t="e">
        <f>CONCATENATE("[Filter]: TN der 2 Förderphase (n=",$F$139,")")</f>
        <v>#N/A</v>
      </c>
      <c r="I185" t="s">
        <v>379</v>
      </c>
    </row>
    <row r="186" spans="1:9" x14ac:dyDescent="0.25">
      <c r="A186"/>
      <c r="B186"/>
      <c r="C186" s="4" t="s">
        <v>348</v>
      </c>
      <c r="D186" s="4">
        <v>0</v>
      </c>
      <c r="E186" s="4" t="s">
        <v>46</v>
      </c>
      <c r="F186" s="4" t="e">
        <f>SUMPRODUCT((INDEX(Rohdaten!$A$2:$GG$9999,,MATCH(C186,Rohdaten!$1:$1,))&amp;""=D186&amp;"")*(Rohdaten!$A$2:$A$9999&lt;&gt;""))</f>
        <v>#N/A</v>
      </c>
      <c r="G186" s="4"/>
    </row>
    <row r="187" spans="1:9" x14ac:dyDescent="0.25">
      <c r="A187"/>
      <c r="B187"/>
      <c r="C187" s="4" t="s">
        <v>348</v>
      </c>
      <c r="D187" s="4">
        <v>1</v>
      </c>
      <c r="E187" s="4" t="s">
        <v>47</v>
      </c>
      <c r="F187" s="4" t="e">
        <f>SUMPRODUCT((INDEX(Rohdaten!$A$2:$GG$9999,,MATCH(C187,Rohdaten!$1:$1,))&amp;""=D187&amp;"")*(Rohdaten!$A$2:$A$9999&lt;&gt;""))</f>
        <v>#N/A</v>
      </c>
      <c r="G187" s="4"/>
    </row>
    <row r="188" spans="1:9" x14ac:dyDescent="0.25">
      <c r="A188"/>
      <c r="B188"/>
      <c r="C188" s="4" t="s">
        <v>348</v>
      </c>
      <c r="D188" s="4">
        <v>2</v>
      </c>
      <c r="E188" s="4" t="s">
        <v>162</v>
      </c>
      <c r="F188" s="4" t="e">
        <f>SUMPRODUCT((INDEX(Rohdaten!$A$2:$GG$9999,,MATCH(C188,Rohdaten!$1:$1,))&amp;""=D188&amp;"")*(Rohdaten!$A$2:$A$9999&lt;&gt;""))</f>
        <v>#N/A</v>
      </c>
      <c r="G188" s="4"/>
    </row>
    <row r="189" spans="1:9" x14ac:dyDescent="0.25">
      <c r="A189"/>
      <c r="B189"/>
      <c r="C189" s="4" t="s">
        <v>348</v>
      </c>
      <c r="D189" s="4">
        <v>3</v>
      </c>
      <c r="E189" s="4" t="s">
        <v>163</v>
      </c>
      <c r="F189" s="4" t="e">
        <f>SUMPRODUCT((INDEX(Rohdaten!$A$2:$GG$9999,,MATCH(C189,Rohdaten!$1:$1,))&amp;""=D189&amp;"")*(Rohdaten!$A$2:$A$9999&lt;&gt;""))</f>
        <v>#N/A</v>
      </c>
      <c r="G189" s="4"/>
    </row>
    <row r="190" spans="1:9" ht="15.75" x14ac:dyDescent="0.25">
      <c r="A190" s="59"/>
      <c r="C190" s="100"/>
      <c r="E190" s="74" t="s">
        <v>383</v>
      </c>
      <c r="F190" s="4" t="e">
        <f>$F$139-SUM(F186:F189)</f>
        <v>#N/A</v>
      </c>
    </row>
    <row r="191" spans="1:9" x14ac:dyDescent="0.25">
      <c r="A191" s="63" t="s">
        <v>160</v>
      </c>
      <c r="B191" s="63" t="s">
        <v>412</v>
      </c>
      <c r="C191" s="63" t="s">
        <v>349</v>
      </c>
      <c r="D191" s="63"/>
      <c r="E191" s="63" t="s">
        <v>45</v>
      </c>
      <c r="F191" s="63" t="e">
        <f>SUMPRODUCT((INDEX(Rohdaten!$A$2:$GG$19999,,MATCH(C191,Rohdaten!$1:$1,))&amp;""=D191&amp;"")*(Rohdaten!$A$2:$A$19999&lt;&gt;""))</f>
        <v>#N/A</v>
      </c>
      <c r="G191" s="64" t="e">
        <f>IF(MATCH(C191,$C:$C,0)=ROW(C191),SUM(F191:F194),"")</f>
        <v>#N/A</v>
      </c>
      <c r="H191" s="63" t="e">
        <f>CONCATENATE("[Filter]: TN der 2 FP in Elternzeit (n=",$F$187,")")</f>
        <v>#N/A</v>
      </c>
    </row>
    <row r="192" spans="1:9" x14ac:dyDescent="0.25">
      <c r="C192" t="s">
        <v>349</v>
      </c>
      <c r="D192" s="3">
        <v>0</v>
      </c>
      <c r="E192" s="2" t="s">
        <v>162</v>
      </c>
      <c r="F192" s="4" t="e">
        <f>SUMPRODUCT((INDEX(Rohdaten!$A$2:$GG$19999,,MATCH(C192,Rohdaten!$1:$1,))&amp;""=D192&amp;"")*(INDEX(Rohdaten!$A$2:$GG$19999,,MATCH($C$187,Rohdaten!$1:$1,))&amp;""=$D$187&amp;""))</f>
        <v>#N/A</v>
      </c>
      <c r="G192" s="4" t="str">
        <f>IF(MATCH(C192,$C:$C,0)=ROW(C192),SUM(F192:F194),"")</f>
        <v/>
      </c>
    </row>
    <row r="193" spans="1:8" x14ac:dyDescent="0.25">
      <c r="C193" t="s">
        <v>349</v>
      </c>
      <c r="D193" s="3">
        <v>1</v>
      </c>
      <c r="E193" s="2" t="s">
        <v>164</v>
      </c>
      <c r="F193" s="4" t="e">
        <f>SUMPRODUCT((INDEX(Rohdaten!$A$2:$GG$19999,,MATCH(C193,Rohdaten!$1:$1,))&amp;""=D193&amp;"")*(INDEX(Rohdaten!$A$2:$GG$19999,,MATCH($C$187,Rohdaten!$1:$1,))&amp;""=$D$187&amp;""))</f>
        <v>#N/A</v>
      </c>
      <c r="G193" s="4" t="str">
        <f>IF(MATCH(C193,$C:$C,0)=ROW(C193),SUM(F193:F195),"")</f>
        <v/>
      </c>
    </row>
    <row r="194" spans="1:8" x14ac:dyDescent="0.25">
      <c r="A194" s="3"/>
      <c r="B194" s="3"/>
      <c r="C194" s="50" t="s">
        <v>349</v>
      </c>
      <c r="D194" s="3">
        <v>2</v>
      </c>
      <c r="E194" s="50" t="s">
        <v>165</v>
      </c>
      <c r="F194" s="4" t="e">
        <f>SUMPRODUCT((INDEX(Rohdaten!$A$2:$GG$19999,,MATCH(C194,Rohdaten!$1:$1,))&amp;""=D194&amp;"")*(INDEX(Rohdaten!$A$2:$GG$19999,,MATCH($C$187,Rohdaten!$1:$1,))&amp;""=$D$187&amp;""))</f>
        <v>#N/A</v>
      </c>
      <c r="G194" s="4" t="str">
        <f>IF(MATCH(C194,$C:$C,0)=ROW(C194),SUM(F194:F196),"")</f>
        <v/>
      </c>
    </row>
    <row r="195" spans="1:8" x14ac:dyDescent="0.25">
      <c r="A195" s="59"/>
      <c r="E195" s="74" t="s">
        <v>411</v>
      </c>
      <c r="F195" s="4" t="e">
        <f>$F$187-SUM(F192:F194)</f>
        <v>#N/A</v>
      </c>
    </row>
    <row r="196" spans="1:8" ht="15.75" x14ac:dyDescent="0.25">
      <c r="A196" s="35" t="s">
        <v>90</v>
      </c>
      <c r="B196" s="35"/>
      <c r="C196" s="35"/>
      <c r="D196" s="35"/>
      <c r="E196" s="35"/>
      <c r="F196" s="35"/>
      <c r="G196" s="35"/>
    </row>
    <row r="197" spans="1:8" x14ac:dyDescent="0.25">
      <c r="A197" s="38" t="s">
        <v>145</v>
      </c>
      <c r="B197" s="37" t="s">
        <v>416</v>
      </c>
      <c r="C197" s="34" t="s">
        <v>150</v>
      </c>
      <c r="D197" s="34"/>
      <c r="E197" s="37" t="s">
        <v>45</v>
      </c>
      <c r="F197" t="e">
        <f>SUMPRODUCT((INDEX(Rohdaten!$A$2:$GG$19999,,MATCH(C197,Rohdaten!$1:$1,))&amp;""=D197&amp;"")*(INDEX(Rohdaten!$A$2:$GG$19999,,MATCH("end_date",Rohdaten!$1:$1,))&lt;&gt;""))</f>
        <v>#N/A</v>
      </c>
      <c r="G197" t="e">
        <f>IF(MATCH(C197,$C:$C,0)=ROW(C197),SUM(F197:F200),"")</f>
        <v>#N/A</v>
      </c>
    </row>
    <row r="198" spans="1:8" x14ac:dyDescent="0.25">
      <c r="A198" s="3"/>
      <c r="C198" t="s">
        <v>150</v>
      </c>
      <c r="D198" s="3">
        <v>0</v>
      </c>
      <c r="E198" s="2" t="s">
        <v>46</v>
      </c>
      <c r="F198" s="4" t="e">
        <f>SUMPRODUCT((INDEX(Rohdaten!$A$2:$GG$19999,,MATCH(C198,Rohdaten!$1:$1,))&amp;""=D198&amp;"")*(INDEX(Rohdaten!$A$2:$GG$19999,,MATCH("end_date",Rohdaten!$1:$1,))&lt;&gt;""))</f>
        <v>#N/A</v>
      </c>
      <c r="G198" s="4" t="str">
        <f>IF(MATCH(C198,$C:$C,0)=ROW(C198),SUM(F198:F205),"")</f>
        <v/>
      </c>
    </row>
    <row r="199" spans="1:8" x14ac:dyDescent="0.25">
      <c r="A199" s="3"/>
      <c r="C199" t="s">
        <v>150</v>
      </c>
      <c r="D199" s="3">
        <v>1</v>
      </c>
      <c r="E199" s="2" t="s">
        <v>47</v>
      </c>
      <c r="F199" s="4" t="e">
        <f>SUMPRODUCT((INDEX(Rohdaten!$A$2:$GG$19999,,MATCH(C199,Rohdaten!$1:$1,))&amp;""=D199&amp;"")*(INDEX(Rohdaten!$A$2:$GG$19999,,MATCH("end_date",Rohdaten!$1:$1,))&lt;&gt;""))</f>
        <v>#N/A</v>
      </c>
      <c r="G199" s="4"/>
    </row>
    <row r="200" spans="1:8" x14ac:dyDescent="0.25">
      <c r="A200" s="3"/>
      <c r="C200" t="s">
        <v>150</v>
      </c>
      <c r="D200">
        <v>2</v>
      </c>
      <c r="E200" t="s">
        <v>162</v>
      </c>
      <c r="F200" s="4" t="e">
        <f>SUMPRODUCT((INDEX(Rohdaten!$A$2:$GG$19999,,MATCH(C200,Rohdaten!$1:$1,))&amp;""=D200&amp;"")*(INDEX(Rohdaten!$A$2:$GG$19999,,MATCH("end_date",Rohdaten!$1:$1,))&lt;&gt;""))</f>
        <v>#N/A</v>
      </c>
      <c r="G200" s="4" t="str">
        <f>IF(MATCH(C199,$C:$C,0)=ROW(C199),SUM(F200:F206),"")</f>
        <v/>
      </c>
    </row>
    <row r="201" spans="1:8" x14ac:dyDescent="0.25">
      <c r="A201" s="55" t="s">
        <v>154</v>
      </c>
      <c r="B201" s="37" t="s">
        <v>415</v>
      </c>
      <c r="C201" s="56" t="s">
        <v>312</v>
      </c>
      <c r="D201" s="57"/>
      <c r="E201" s="37" t="s">
        <v>45</v>
      </c>
      <c r="F201" s="4" t="e">
        <f>SUMPRODUCT((INDEX(Rohdaten!$A$2:$GG$19999,,MATCH(C201,Rohdaten!$1:$1,))&amp;""=D201&amp;"")*(INDEX(Rohdaten!$A$2:$GG$19999,,MATCH("end_date",Rohdaten!$1:$1,))&lt;&gt;""))</f>
        <v>#N/A</v>
      </c>
      <c r="G201" s="4" t="e">
        <f>IF(MATCH(C201,$C:$C,0)=ROW(C201),SUM(F201:F204),"")</f>
        <v>#N/A</v>
      </c>
      <c r="H201" s="49" t="str">
        <f>CONCATENATE("[Filter] Bei Eintritt ZG: Pflege und bei Austritt Arbeit aufgenommen/ selbständig gemacht: n= ","*unbekannt*")</f>
        <v>[Filter] Bei Eintritt ZG: Pflege und bei Austritt Arbeit aufgenommen/ selbständig gemacht: n= *unbekannt*</v>
      </c>
    </row>
    <row r="202" spans="1:8" x14ac:dyDescent="0.25">
      <c r="A202" s="52"/>
      <c r="B202" s="52"/>
      <c r="C202" s="51" t="s">
        <v>312</v>
      </c>
      <c r="D202" s="52">
        <v>0</v>
      </c>
      <c r="E202" s="53" t="s">
        <v>253</v>
      </c>
      <c r="F202" s="4" t="e">
        <f>SUMPRODUCT((INDEX(Rohdaten!$A$2:$GG$19999,,MATCH(C202,Rohdaten!$1:$1,))&amp;""=D202&amp;"")*(INDEX(Rohdaten!$A$2:$GG$19999,,MATCH("end_date",Rohdaten!$1:$1,))&lt;&gt;""))</f>
        <v>#N/A</v>
      </c>
      <c r="G202" s="4" t="str">
        <f>IF(MATCH(C202,$C:$C,0)=ROW(C202),SUM(F202:F204),"")</f>
        <v/>
      </c>
    </row>
    <row r="203" spans="1:8" x14ac:dyDescent="0.25">
      <c r="A203" s="52"/>
      <c r="B203" s="52"/>
      <c r="C203" s="51" t="s">
        <v>312</v>
      </c>
      <c r="D203" s="52">
        <v>1</v>
      </c>
      <c r="E203" s="53" t="s">
        <v>254</v>
      </c>
      <c r="F203" s="4" t="e">
        <f>SUMPRODUCT((INDEX(Rohdaten!$A$2:$GG$19999,,MATCH(C203,Rohdaten!$1:$1,))&amp;""=D203&amp;"")*(INDEX(Rohdaten!$A$2:$GG$19999,,MATCH("end_date",Rohdaten!$1:$1,))&lt;&gt;""))</f>
        <v>#N/A</v>
      </c>
      <c r="G203" s="4" t="str">
        <f>IF(MATCH(C203,$C:$C,0)=ROW(C203),SUM(F203:F210),"")</f>
        <v/>
      </c>
    </row>
    <row r="204" spans="1:8" x14ac:dyDescent="0.25">
      <c r="A204" s="3"/>
      <c r="B204" s="3"/>
      <c r="C204" s="50" t="s">
        <v>312</v>
      </c>
      <c r="D204" s="3">
        <v>2</v>
      </c>
      <c r="E204" s="2" t="s">
        <v>255</v>
      </c>
      <c r="F204" s="4" t="e">
        <f>SUMPRODUCT((INDEX(Rohdaten!$A$2:$GG$19999,,MATCH(C204,Rohdaten!$1:$1,))&amp;""=D204&amp;"")*(INDEX(Rohdaten!$A$2:$GG$19999,,MATCH("end_date",Rohdaten!$1:$1,))&lt;&gt;""))</f>
        <v>#N/A</v>
      </c>
      <c r="G204" s="4" t="str">
        <f>IF(MATCH(C204,$C:$C,0)=ROW(C204),SUM(F204:F211),"")</f>
        <v/>
      </c>
    </row>
    <row r="205" spans="1:8" x14ac:dyDescent="0.25">
      <c r="A205" s="55" t="s">
        <v>247</v>
      </c>
      <c r="B205" s="37" t="s">
        <v>248</v>
      </c>
      <c r="C205" s="56" t="s">
        <v>311</v>
      </c>
      <c r="D205" s="57"/>
      <c r="E205" s="37" t="s">
        <v>45</v>
      </c>
      <c r="F205" s="27" t="e">
        <f>SUMPRODUCT((INDEX(Rohdaten!$A$2:$GG$19999,,MATCH(C205,Rohdaten!$1:$1,))&amp;""=D205&amp;"")*(Rohdaten!$A$2:$A$19999&lt;&gt;""))</f>
        <v>#N/A</v>
      </c>
      <c r="G205" s="27" t="e">
        <f>IF(MATCH(C205,$C:$C,0)=ROW(C205),SUM(F205:F209),"")</f>
        <v>#N/A</v>
      </c>
      <c r="H205" s="29" t="s">
        <v>129</v>
      </c>
    </row>
    <row r="206" spans="1:8" x14ac:dyDescent="0.25">
      <c r="A206" s="52"/>
      <c r="B206" s="52"/>
      <c r="C206" s="51" t="s">
        <v>311</v>
      </c>
      <c r="D206" s="52">
        <v>0</v>
      </c>
      <c r="E206" s="53" t="s">
        <v>249</v>
      </c>
      <c r="F206" s="4">
        <f>SUMPRODUCT((ISNUMBER(SEARCH("{"&amp;D206&amp;",",INDEX(Rohdaten!$A$2:$GG$19999,,MATCH(C206,Rohdaten!$1:$1,)))))+(ISNUMBER(SEARCH(","&amp;D206&amp;",",INDEX(Rohdaten!$A$2:$GG$19999,,MATCH(C206,Rohdaten!$1:$1,)))))*1)</f>
        <v>0</v>
      </c>
    </row>
    <row r="207" spans="1:8" x14ac:dyDescent="0.25">
      <c r="A207" s="52"/>
      <c r="B207" s="52"/>
      <c r="C207" s="51" t="s">
        <v>311</v>
      </c>
      <c r="D207" s="52">
        <v>1</v>
      </c>
      <c r="E207" s="53" t="s">
        <v>250</v>
      </c>
      <c r="F207" s="4">
        <f>SUMPRODUCT((ISNUMBER(SEARCH("{"&amp;D207&amp;",",INDEX(Rohdaten!$A$2:$GG$19999,,MATCH(C207,Rohdaten!$1:$1,)))))+(ISNUMBER(SEARCH(","&amp;D207&amp;",",INDEX(Rohdaten!$A$2:$GG$19999,,MATCH(C207,Rohdaten!$1:$1,)))))*1)</f>
        <v>0</v>
      </c>
    </row>
    <row r="208" spans="1:8" x14ac:dyDescent="0.25">
      <c r="A208" s="52"/>
      <c r="B208" s="52"/>
      <c r="C208" s="51" t="s">
        <v>311</v>
      </c>
      <c r="D208" s="52">
        <v>2</v>
      </c>
      <c r="E208" s="53" t="s">
        <v>251</v>
      </c>
      <c r="F208" s="4">
        <f>SUMPRODUCT((ISNUMBER(SEARCH("{"&amp;D208&amp;",",INDEX(Rohdaten!$A$2:$GG$19999,,MATCH(C208,Rohdaten!$1:$1,)))))+(ISNUMBER(SEARCH(","&amp;D208&amp;",",INDEX(Rohdaten!$A$2:$GG$19999,,MATCH(C208,Rohdaten!$1:$1,)))))*1)</f>
        <v>0</v>
      </c>
      <c r="G208" s="4" t="str">
        <f>IF(MATCH(C208,$C:$C,0)=ROW(C208),SUM(F208:F209),"")</f>
        <v/>
      </c>
    </row>
    <row r="209" spans="1:8" x14ac:dyDescent="0.25">
      <c r="A209" s="52"/>
      <c r="B209" s="52"/>
      <c r="C209" s="51" t="s">
        <v>311</v>
      </c>
      <c r="D209" s="52">
        <v>3</v>
      </c>
      <c r="E209" s="53" t="s">
        <v>252</v>
      </c>
      <c r="F209" s="4">
        <f>SUMPRODUCT((ISNUMBER(SEARCH("{"&amp;D209&amp;",",INDEX(Rohdaten!$A$2:$GG$19999,,MATCH(C209,Rohdaten!$1:$1,)))))+(ISNUMBER(SEARCH(","&amp;D209&amp;",",INDEX(Rohdaten!$A$2:$GG$19999,,MATCH(C209,Rohdaten!$1:$1,)))))*1)</f>
        <v>0</v>
      </c>
      <c r="G209" s="4" t="str">
        <f>IF(MATCH(C209,$C:$C,0)=ROW(C209),SUM(F209:F209),"")</f>
        <v/>
      </c>
    </row>
    <row r="210" spans="1:8" x14ac:dyDescent="0.25">
      <c r="A210" s="55" t="s">
        <v>256</v>
      </c>
      <c r="B210" s="37" t="s">
        <v>257</v>
      </c>
      <c r="C210" s="56" t="s">
        <v>313</v>
      </c>
      <c r="D210" s="57"/>
      <c r="E210" s="37" t="s">
        <v>45</v>
      </c>
      <c r="F210" s="27" t="e">
        <f>SUMPRODUCT((INDEX(Rohdaten!$A$2:$GG$19999,,MATCH(C210,Rohdaten!$1:$1,))&amp;""=D210&amp;"")*(Rohdaten!$A$2:$A$19999&lt;&gt;""))</f>
        <v>#N/A</v>
      </c>
      <c r="G210" s="27" t="e">
        <f>IF(MATCH(C210,$C:$C,0)=ROW(C210),SUM(F210:F214),"")</f>
        <v>#N/A</v>
      </c>
      <c r="H210" s="29" t="s">
        <v>129</v>
      </c>
    </row>
    <row r="211" spans="1:8" x14ac:dyDescent="0.25">
      <c r="A211" s="54"/>
      <c r="B211" s="3"/>
      <c r="C211" s="50" t="s">
        <v>313</v>
      </c>
      <c r="D211" s="3">
        <v>1</v>
      </c>
      <c r="E211" s="2" t="s">
        <v>258</v>
      </c>
      <c r="F211" s="4">
        <f>SUMPRODUCT((ISNUMBER(SEARCH("{"&amp;D211&amp;",",INDEX(Rohdaten!$A$2:$GG$19999,,MATCH(C211,Rohdaten!$1:$1,)))))+(ISNUMBER(SEARCH(","&amp;D211&amp;",",INDEX(Rohdaten!$A$2:$GG$19999,,MATCH(C211,Rohdaten!$1:$1,)))))*1)</f>
        <v>0</v>
      </c>
      <c r="G211" s="4" t="str">
        <f t="shared" ref="G211:G240" si="5">IF(MATCH(C211,$C:$C,0)=ROW(C211),SUM(F211:F213),"")</f>
        <v/>
      </c>
    </row>
    <row r="212" spans="1:8" x14ac:dyDescent="0.25">
      <c r="A212" s="3"/>
      <c r="B212" s="3"/>
      <c r="C212" s="50" t="s">
        <v>313</v>
      </c>
      <c r="D212" s="3">
        <v>2</v>
      </c>
      <c r="E212" s="2" t="s">
        <v>259</v>
      </c>
      <c r="F212" s="4">
        <f>SUMPRODUCT((ISNUMBER(SEARCH("{"&amp;D212&amp;",",INDEX(Rohdaten!$A$2:$GG$19999,,MATCH(C212,Rohdaten!$1:$1,)))))+(ISNUMBER(SEARCH(","&amp;D212&amp;",",INDEX(Rohdaten!$A$2:$GG$19999,,MATCH(C212,Rohdaten!$1:$1,)))))*1)</f>
        <v>0</v>
      </c>
      <c r="G212" s="4" t="str">
        <f t="shared" si="5"/>
        <v/>
      </c>
    </row>
    <row r="213" spans="1:8" x14ac:dyDescent="0.25">
      <c r="A213" s="3"/>
      <c r="B213" s="3"/>
      <c r="C213" s="50" t="s">
        <v>313</v>
      </c>
      <c r="D213" s="3">
        <v>3</v>
      </c>
      <c r="E213" s="2" t="s">
        <v>260</v>
      </c>
      <c r="F213" s="4">
        <f>SUMPRODUCT((ISNUMBER(SEARCH("{"&amp;D213&amp;",",INDEX(Rohdaten!$A$2:$GG$19999,,MATCH(C213,Rohdaten!$1:$1,)))))+(ISNUMBER(SEARCH(","&amp;D213&amp;",",INDEX(Rohdaten!$A$2:$GG$19999,,MATCH(C213,Rohdaten!$1:$1,)))))*1)</f>
        <v>0</v>
      </c>
      <c r="G213" s="4" t="str">
        <f t="shared" si="5"/>
        <v/>
      </c>
    </row>
    <row r="214" spans="1:8" x14ac:dyDescent="0.25">
      <c r="A214" s="3"/>
      <c r="B214" s="3"/>
      <c r="C214" s="50" t="s">
        <v>313</v>
      </c>
      <c r="D214" s="3">
        <v>4</v>
      </c>
      <c r="E214" s="2" t="s">
        <v>261</v>
      </c>
      <c r="F214" s="4">
        <f>SUMPRODUCT((ISNUMBER(SEARCH("{"&amp;D214&amp;",",INDEX(Rohdaten!$A$2:$GG$19999,,MATCH(C214,Rohdaten!$1:$1,)))))+(ISNUMBER(SEARCH(","&amp;D214&amp;",",INDEX(Rohdaten!$A$2:$GG$19999,,MATCH(C214,Rohdaten!$1:$1,)))))*1)</f>
        <v>0</v>
      </c>
      <c r="G214" s="4" t="str">
        <f t="shared" si="5"/>
        <v/>
      </c>
    </row>
    <row r="215" spans="1:8" x14ac:dyDescent="0.25">
      <c r="A215" s="55" t="s">
        <v>256</v>
      </c>
      <c r="B215" s="37" t="s">
        <v>262</v>
      </c>
      <c r="C215" s="56" t="s">
        <v>314</v>
      </c>
      <c r="D215" s="57"/>
      <c r="E215" s="37" t="s">
        <v>45</v>
      </c>
      <c r="F215" s="27" t="e">
        <f>SUMPRODUCT((INDEX(Rohdaten!$A$2:$GG$19999,,MATCH(C215,Rohdaten!$1:$1,))&amp;""=D215&amp;"")*(Rohdaten!$A$2:$A$19999&lt;&gt;""))</f>
        <v>#N/A</v>
      </c>
      <c r="G215" s="27" t="e">
        <f t="shared" si="5"/>
        <v>#N/A</v>
      </c>
      <c r="H215" s="29" t="s">
        <v>129</v>
      </c>
    </row>
    <row r="216" spans="1:8" x14ac:dyDescent="0.25">
      <c r="A216" s="54"/>
      <c r="B216" s="3"/>
      <c r="C216" s="50" t="s">
        <v>314</v>
      </c>
      <c r="D216" s="3">
        <v>1</v>
      </c>
      <c r="E216" s="2" t="s">
        <v>263</v>
      </c>
      <c r="F216" s="4">
        <f>SUMPRODUCT((ISNUMBER(SEARCH("{"&amp;D216&amp;",",INDEX(Rohdaten!$A$2:$GG$19999,,MATCH(C216,Rohdaten!$1:$1,)))))+(ISNUMBER(SEARCH(","&amp;D216&amp;",",INDEX(Rohdaten!$A$2:$GG$19999,,MATCH(C216,Rohdaten!$1:$1,)))))*1)</f>
        <v>0</v>
      </c>
      <c r="G216" s="4" t="str">
        <f t="shared" si="5"/>
        <v/>
      </c>
    </row>
    <row r="217" spans="1:8" x14ac:dyDescent="0.25">
      <c r="A217" s="3"/>
      <c r="B217" s="3"/>
      <c r="C217" s="50" t="s">
        <v>314</v>
      </c>
      <c r="D217" s="3">
        <v>2</v>
      </c>
      <c r="E217" s="2" t="s">
        <v>264</v>
      </c>
      <c r="F217" s="4">
        <f>SUMPRODUCT((ISNUMBER(SEARCH("{"&amp;D217&amp;",",INDEX(Rohdaten!$A$2:$GG$19999,,MATCH(C217,Rohdaten!$1:$1,)))))+(ISNUMBER(SEARCH(","&amp;D217&amp;",",INDEX(Rohdaten!$A$2:$GG$19999,,MATCH(C217,Rohdaten!$1:$1,)))))*1)</f>
        <v>0</v>
      </c>
      <c r="G217" s="4" t="str">
        <f t="shared" si="5"/>
        <v/>
      </c>
    </row>
    <row r="218" spans="1:8" x14ac:dyDescent="0.25">
      <c r="A218" s="3"/>
      <c r="B218" s="3"/>
      <c r="C218" s="50" t="s">
        <v>314</v>
      </c>
      <c r="D218" s="3">
        <v>3</v>
      </c>
      <c r="E218" s="2" t="s">
        <v>265</v>
      </c>
      <c r="F218" s="4">
        <f>SUMPRODUCT((ISNUMBER(SEARCH("{"&amp;D218&amp;",",INDEX(Rohdaten!$A$2:$GG$19999,,MATCH(C218,Rohdaten!$1:$1,)))))+(ISNUMBER(SEARCH(","&amp;D218&amp;",",INDEX(Rohdaten!$A$2:$GG$19999,,MATCH(C218,Rohdaten!$1:$1,)))))*1)</f>
        <v>0</v>
      </c>
      <c r="G218" s="4" t="str">
        <f t="shared" si="5"/>
        <v/>
      </c>
    </row>
    <row r="219" spans="1:8" x14ac:dyDescent="0.25">
      <c r="A219" s="3"/>
      <c r="B219" s="3"/>
      <c r="C219" s="50" t="s">
        <v>314</v>
      </c>
      <c r="D219" s="3">
        <v>4</v>
      </c>
      <c r="E219" s="2" t="s">
        <v>266</v>
      </c>
      <c r="F219" s="4">
        <f>SUMPRODUCT((ISNUMBER(SEARCH("{"&amp;D219&amp;",",INDEX(Rohdaten!$A$2:$GG$19999,,MATCH(C219,Rohdaten!$1:$1,)))))+(ISNUMBER(SEARCH(","&amp;D219&amp;",",INDEX(Rohdaten!$A$2:$GG$19999,,MATCH(C219,Rohdaten!$1:$1,)))))*1)</f>
        <v>0</v>
      </c>
      <c r="G219" s="4" t="str">
        <f t="shared" si="5"/>
        <v/>
      </c>
    </row>
    <row r="220" spans="1:8" x14ac:dyDescent="0.25">
      <c r="A220" s="3"/>
      <c r="B220" s="3"/>
      <c r="C220" s="50" t="s">
        <v>314</v>
      </c>
      <c r="D220" s="3">
        <v>5</v>
      </c>
      <c r="E220" s="2" t="s">
        <v>261</v>
      </c>
      <c r="F220" s="4">
        <f>SUMPRODUCT((ISNUMBER(SEARCH("{"&amp;D220&amp;",",INDEX(Rohdaten!$A$2:$GG$19999,,MATCH(C220,Rohdaten!$1:$1,)))))+(ISNUMBER(SEARCH(","&amp;D220&amp;",",INDEX(Rohdaten!$A$2:$GG$19999,,MATCH(C220,Rohdaten!$1:$1,)))))*1)</f>
        <v>0</v>
      </c>
      <c r="G220" s="4" t="str">
        <f t="shared" si="5"/>
        <v/>
      </c>
    </row>
    <row r="221" spans="1:8" x14ac:dyDescent="0.25">
      <c r="A221" s="55" t="s">
        <v>256</v>
      </c>
      <c r="B221" s="37" t="s">
        <v>267</v>
      </c>
      <c r="C221" s="56" t="s">
        <v>315</v>
      </c>
      <c r="D221" s="57"/>
      <c r="E221" s="37" t="s">
        <v>45</v>
      </c>
      <c r="F221" s="27" t="e">
        <f>SUMPRODUCT((INDEX(Rohdaten!$A$2:$GG$19999,,MATCH(C221,Rohdaten!$1:$1,))&amp;""=D221&amp;"")*(Rohdaten!$A$2:$A$19999&lt;&gt;""))</f>
        <v>#N/A</v>
      </c>
      <c r="G221" s="27" t="e">
        <f t="shared" si="5"/>
        <v>#N/A</v>
      </c>
      <c r="H221" s="29" t="s">
        <v>129</v>
      </c>
    </row>
    <row r="222" spans="1:8" x14ac:dyDescent="0.25">
      <c r="A222" s="54"/>
      <c r="B222" s="3"/>
      <c r="C222" s="50" t="s">
        <v>315</v>
      </c>
      <c r="D222" s="3">
        <v>1</v>
      </c>
      <c r="E222" s="2" t="s">
        <v>268</v>
      </c>
      <c r="F222" s="4">
        <f>SUMPRODUCT((ISNUMBER(SEARCH("{"&amp;D222&amp;",",INDEX(Rohdaten!$A$2:$GG$19999,,MATCH(C222,Rohdaten!$1:$1,)))))+(ISNUMBER(SEARCH(","&amp;D222&amp;",",INDEX(Rohdaten!$A$2:$GG$19999,,MATCH(C222,Rohdaten!$1:$1,)))))*1)</f>
        <v>0</v>
      </c>
      <c r="G222" s="4" t="str">
        <f t="shared" si="5"/>
        <v/>
      </c>
    </row>
    <row r="223" spans="1:8" x14ac:dyDescent="0.25">
      <c r="A223" s="3"/>
      <c r="B223" s="3"/>
      <c r="C223" s="50" t="s">
        <v>315</v>
      </c>
      <c r="D223" s="3">
        <v>2</v>
      </c>
      <c r="E223" s="2" t="s">
        <v>269</v>
      </c>
      <c r="F223" s="4">
        <f>SUMPRODUCT((ISNUMBER(SEARCH("{"&amp;D223&amp;",",INDEX(Rohdaten!$A$2:$GG$19999,,MATCH(C223,Rohdaten!$1:$1,)))))+(ISNUMBER(SEARCH(","&amp;D223&amp;",",INDEX(Rohdaten!$A$2:$GG$19999,,MATCH(C223,Rohdaten!$1:$1,)))))*1)</f>
        <v>0</v>
      </c>
      <c r="G223" s="4" t="str">
        <f t="shared" si="5"/>
        <v/>
      </c>
    </row>
    <row r="224" spans="1:8" x14ac:dyDescent="0.25">
      <c r="A224" s="3"/>
      <c r="B224" s="3"/>
      <c r="C224" s="50" t="s">
        <v>315</v>
      </c>
      <c r="D224" s="3">
        <v>3</v>
      </c>
      <c r="E224" s="2" t="s">
        <v>270</v>
      </c>
      <c r="F224" s="4">
        <f>SUMPRODUCT((ISNUMBER(SEARCH("{"&amp;D224&amp;",",INDEX(Rohdaten!$A$2:$GG$19999,,MATCH(C224,Rohdaten!$1:$1,)))))+(ISNUMBER(SEARCH(","&amp;D224&amp;",",INDEX(Rohdaten!$A$2:$GG$19999,,MATCH(C224,Rohdaten!$1:$1,)))))*1)</f>
        <v>0</v>
      </c>
      <c r="G224" s="4" t="str">
        <f t="shared" si="5"/>
        <v/>
      </c>
    </row>
    <row r="225" spans="1:8" x14ac:dyDescent="0.25">
      <c r="A225" s="3"/>
      <c r="B225" s="3"/>
      <c r="C225" s="50" t="s">
        <v>315</v>
      </c>
      <c r="D225" s="3">
        <v>4</v>
      </c>
      <c r="E225" s="2" t="s">
        <v>261</v>
      </c>
      <c r="F225" s="4">
        <f>SUMPRODUCT((ISNUMBER(SEARCH("{"&amp;D225&amp;",",INDEX(Rohdaten!$A$2:$GG$19999,,MATCH(C225,Rohdaten!$1:$1,)))))+(ISNUMBER(SEARCH(","&amp;D225&amp;",",INDEX(Rohdaten!$A$2:$GG$19999,,MATCH(C225,Rohdaten!$1:$1,)))))*1)</f>
        <v>0</v>
      </c>
      <c r="G225" s="4" t="str">
        <f t="shared" si="5"/>
        <v/>
      </c>
    </row>
    <row r="226" spans="1:8" x14ac:dyDescent="0.25">
      <c r="A226" s="55" t="s">
        <v>256</v>
      </c>
      <c r="B226" s="37" t="s">
        <v>271</v>
      </c>
      <c r="C226" s="56" t="s">
        <v>316</v>
      </c>
      <c r="D226" s="57"/>
      <c r="E226" s="37" t="s">
        <v>45</v>
      </c>
      <c r="F226" s="27" t="e">
        <f>SUMPRODUCT((INDEX(Rohdaten!$A$2:$GG$19999,,MATCH(C226,Rohdaten!$1:$1,))&amp;""=D226&amp;"")*(Rohdaten!$A$2:$A$19999&lt;&gt;""))</f>
        <v>#N/A</v>
      </c>
      <c r="G226" s="27" t="e">
        <f t="shared" si="5"/>
        <v>#N/A</v>
      </c>
      <c r="H226" s="29" t="s">
        <v>129</v>
      </c>
    </row>
    <row r="227" spans="1:8" x14ac:dyDescent="0.25">
      <c r="A227" s="54"/>
      <c r="B227" s="3"/>
      <c r="C227" s="50" t="s">
        <v>316</v>
      </c>
      <c r="D227" s="3">
        <v>1</v>
      </c>
      <c r="E227" s="2" t="s">
        <v>272</v>
      </c>
      <c r="F227" s="4">
        <f>SUMPRODUCT((ISNUMBER(SEARCH("{"&amp;D227&amp;",",INDEX(Rohdaten!$A$2:$GG$19999,,MATCH(C227,Rohdaten!$1:$1,)))))+(ISNUMBER(SEARCH(","&amp;D227&amp;",",INDEX(Rohdaten!$A$2:$GG$19999,,MATCH(C227,Rohdaten!$1:$1,)))))*1)</f>
        <v>0</v>
      </c>
      <c r="G227" s="4" t="str">
        <f t="shared" si="5"/>
        <v/>
      </c>
    </row>
    <row r="228" spans="1:8" x14ac:dyDescent="0.25">
      <c r="A228" s="3"/>
      <c r="B228" s="3"/>
      <c r="C228" s="50" t="s">
        <v>316</v>
      </c>
      <c r="D228" s="3">
        <v>2</v>
      </c>
      <c r="E228" s="2" t="s">
        <v>273</v>
      </c>
      <c r="F228" s="4">
        <f>SUMPRODUCT((ISNUMBER(SEARCH("{"&amp;D228&amp;",",INDEX(Rohdaten!$A$2:$GG$19999,,MATCH(C228,Rohdaten!$1:$1,)))))+(ISNUMBER(SEARCH(","&amp;D228&amp;",",INDEX(Rohdaten!$A$2:$GG$19999,,MATCH(C228,Rohdaten!$1:$1,)))))*1)</f>
        <v>0</v>
      </c>
      <c r="G228" s="4" t="str">
        <f t="shared" si="5"/>
        <v/>
      </c>
    </row>
    <row r="229" spans="1:8" x14ac:dyDescent="0.25">
      <c r="A229" s="3"/>
      <c r="B229" s="3"/>
      <c r="C229" s="50" t="s">
        <v>316</v>
      </c>
      <c r="D229" s="3">
        <v>3</v>
      </c>
      <c r="E229" s="2" t="s">
        <v>274</v>
      </c>
      <c r="F229" s="4">
        <f>SUMPRODUCT((ISNUMBER(SEARCH("{"&amp;D229&amp;",",INDEX(Rohdaten!$A$2:$GG$19999,,MATCH(C229,Rohdaten!$1:$1,)))))+(ISNUMBER(SEARCH(","&amp;D229&amp;",",INDEX(Rohdaten!$A$2:$GG$19999,,MATCH(C229,Rohdaten!$1:$1,)))))*1)</f>
        <v>0</v>
      </c>
      <c r="G229" s="4" t="str">
        <f t="shared" si="5"/>
        <v/>
      </c>
    </row>
    <row r="230" spans="1:8" x14ac:dyDescent="0.25">
      <c r="A230" s="3"/>
      <c r="B230" s="3"/>
      <c r="C230" s="50" t="s">
        <v>316</v>
      </c>
      <c r="D230" s="3">
        <v>4</v>
      </c>
      <c r="E230" s="2" t="s">
        <v>275</v>
      </c>
      <c r="F230" s="4">
        <f>SUMPRODUCT((ISNUMBER(SEARCH("{"&amp;D230&amp;",",INDEX(Rohdaten!$A$2:$GG$19999,,MATCH(C230,Rohdaten!$1:$1,)))))+(ISNUMBER(SEARCH(","&amp;D230&amp;",",INDEX(Rohdaten!$A$2:$GG$19999,,MATCH(C230,Rohdaten!$1:$1,)))))*1)</f>
        <v>0</v>
      </c>
      <c r="G230" s="4" t="str">
        <f t="shared" si="5"/>
        <v/>
      </c>
    </row>
    <row r="231" spans="1:8" x14ac:dyDescent="0.25">
      <c r="A231" s="3"/>
      <c r="B231" s="3"/>
      <c r="C231" s="50" t="s">
        <v>316</v>
      </c>
      <c r="D231" s="3">
        <v>5</v>
      </c>
      <c r="E231" s="2" t="s">
        <v>261</v>
      </c>
      <c r="F231" s="4">
        <f>SUMPRODUCT((ISNUMBER(SEARCH("{"&amp;D231&amp;",",INDEX(Rohdaten!$A$2:$GG$19999,,MATCH(C231,Rohdaten!$1:$1,)))))+(ISNUMBER(SEARCH(","&amp;D231&amp;",",INDEX(Rohdaten!$A$2:$GG$19999,,MATCH(C231,Rohdaten!$1:$1,)))))*1)</f>
        <v>0</v>
      </c>
      <c r="G231" s="4" t="str">
        <f t="shared" si="5"/>
        <v/>
      </c>
    </row>
    <row r="232" spans="1:8" x14ac:dyDescent="0.25">
      <c r="A232" s="56" t="s">
        <v>166</v>
      </c>
      <c r="B232" s="56" t="s">
        <v>276</v>
      </c>
      <c r="C232" s="56" t="s">
        <v>317</v>
      </c>
      <c r="D232" s="57"/>
      <c r="E232" s="37" t="s">
        <v>45</v>
      </c>
      <c r="F232" s="4" t="e">
        <f>SUMPRODUCT((INDEX(Rohdaten!$A$2:$GG$19999,,MATCH(C232,Rohdaten!$1:$1,))&amp;""=D232&amp;"")*(INDEX(Rohdaten!$A$2:$GG$19999,,MATCH("end_date",Rohdaten!$1:$1,))&lt;&gt;""))</f>
        <v>#N/A</v>
      </c>
      <c r="G232" s="4" t="e">
        <f t="shared" si="5"/>
        <v>#N/A</v>
      </c>
      <c r="H232" s="49" t="str">
        <f>CONCATENATE("[Filter] Bei Eintritt PWE Online: n= ","*unbekannt*")</f>
        <v>[Filter] Bei Eintritt PWE Online: n= *unbekannt*</v>
      </c>
    </row>
    <row r="233" spans="1:8" x14ac:dyDescent="0.25">
      <c r="A233" s="3"/>
      <c r="B233" s="3"/>
      <c r="C233" s="50" t="s">
        <v>317</v>
      </c>
      <c r="D233" s="3">
        <v>0</v>
      </c>
      <c r="E233" s="2" t="s">
        <v>185</v>
      </c>
      <c r="F233" s="4" t="e">
        <f>SUMPRODUCT((INDEX(Rohdaten!$A$2:$GG$19999,,MATCH(C233,Rohdaten!$1:$1,))&amp;""=D233&amp;"")*(INDEX(Rohdaten!$A$2:$GG$19999,,MATCH("end_date",Rohdaten!$1:$1,))&lt;&gt;""))</f>
        <v>#N/A</v>
      </c>
      <c r="G233" s="4" t="str">
        <f t="shared" si="5"/>
        <v/>
      </c>
      <c r="H233" s="3"/>
    </row>
    <row r="234" spans="1:8" x14ac:dyDescent="0.25">
      <c r="A234" s="3"/>
      <c r="B234" s="3"/>
      <c r="C234" s="50" t="s">
        <v>317</v>
      </c>
      <c r="D234" s="3">
        <v>1</v>
      </c>
      <c r="E234" s="2" t="s">
        <v>186</v>
      </c>
      <c r="F234" s="4" t="e">
        <f>SUMPRODUCT((INDEX(Rohdaten!$A$2:$GG$19999,,MATCH(C234,Rohdaten!$1:$1,))&amp;""=D234&amp;"")*(INDEX(Rohdaten!$A$2:$GG$19999,,MATCH("end_date",Rohdaten!$1:$1,))&lt;&gt;""))</f>
        <v>#N/A</v>
      </c>
      <c r="G234" s="4" t="str">
        <f t="shared" si="5"/>
        <v/>
      </c>
      <c r="H234" s="3"/>
    </row>
    <row r="235" spans="1:8" x14ac:dyDescent="0.25">
      <c r="A235" s="56" t="s">
        <v>166</v>
      </c>
      <c r="B235" s="56" t="s">
        <v>277</v>
      </c>
      <c r="C235" s="56" t="s">
        <v>318</v>
      </c>
      <c r="D235" s="57"/>
      <c r="E235" s="37" t="s">
        <v>45</v>
      </c>
      <c r="F235" s="4" t="e">
        <f>SUMPRODUCT((INDEX(Rohdaten!$A$2:$GG$19999,,MATCH(C235,Rohdaten!$1:$1,))&amp;""=D235&amp;"")*(INDEX(Rohdaten!$A$2:$GG$19999,,MATCH("end_date",Rohdaten!$1:$1,))&lt;&gt;""))</f>
        <v>#N/A</v>
      </c>
      <c r="G235" s="4" t="e">
        <f t="shared" si="5"/>
        <v>#N/A</v>
      </c>
      <c r="H235" s="49" t="str">
        <f>CONCATENATE("[Filter] Kursteilnahme erfolgreich: n= ",K234)</f>
        <v xml:space="preserve">[Filter] Kursteilnahme erfolgreich: n= </v>
      </c>
    </row>
    <row r="236" spans="1:8" x14ac:dyDescent="0.25">
      <c r="A236" s="3"/>
      <c r="B236" s="3"/>
      <c r="C236" s="50" t="s">
        <v>318</v>
      </c>
      <c r="D236" s="3">
        <v>0</v>
      </c>
      <c r="E236" s="2" t="s">
        <v>185</v>
      </c>
      <c r="F236" s="4" t="e">
        <f>SUMPRODUCT((INDEX(Rohdaten!$A$2:$GG$19999,,MATCH(C236,Rohdaten!$1:$1,))&amp;""=D236&amp;"")*(INDEX(Rohdaten!$A$2:$GG$19999,,MATCH("end_date",Rohdaten!$1:$1,))&lt;&gt;""))</f>
        <v>#N/A</v>
      </c>
      <c r="G236" s="4" t="str">
        <f t="shared" si="5"/>
        <v/>
      </c>
      <c r="H236" s="3"/>
    </row>
    <row r="237" spans="1:8" x14ac:dyDescent="0.25">
      <c r="A237" s="3"/>
      <c r="B237" s="3"/>
      <c r="C237" s="50" t="s">
        <v>318</v>
      </c>
      <c r="D237" s="3">
        <v>1</v>
      </c>
      <c r="E237" s="2" t="s">
        <v>186</v>
      </c>
      <c r="F237" s="4" t="e">
        <f>SUMPRODUCT((INDEX(Rohdaten!$A$2:$GG$19999,,MATCH(C237,Rohdaten!$1:$1,))&amp;""=D237&amp;"")*(INDEX(Rohdaten!$A$2:$GG$19999,,MATCH("end_date",Rohdaten!$1:$1,))&lt;&gt;""))</f>
        <v>#N/A</v>
      </c>
      <c r="G237" s="4" t="str">
        <f t="shared" si="5"/>
        <v/>
      </c>
      <c r="H237" s="3"/>
    </row>
    <row r="238" spans="1:8" x14ac:dyDescent="0.25">
      <c r="A238" s="56" t="s">
        <v>166</v>
      </c>
      <c r="B238" s="56" t="s">
        <v>278</v>
      </c>
      <c r="C238" s="56" t="s">
        <v>319</v>
      </c>
      <c r="D238" s="57"/>
      <c r="E238" s="37" t="s">
        <v>45</v>
      </c>
      <c r="F238" s="4" t="e">
        <f>SUMPRODUCT((INDEX(Rohdaten!$A$2:$GG$19999,,MATCH(C238,Rohdaten!$1:$1,))&amp;""=D238&amp;"")*(INDEX(Rohdaten!$A$2:$GG$19999,,MATCH("end_date",Rohdaten!$1:$1,))&lt;&gt;""))</f>
        <v>#N/A</v>
      </c>
      <c r="G238" s="4" t="e">
        <f t="shared" si="5"/>
        <v>#N/A</v>
      </c>
      <c r="H238" s="49" t="str">
        <f>CONCATENATE("[Filter] Bei Eintritt PWE Online: n= ","*unbekannt*")</f>
        <v>[Filter] Bei Eintritt PWE Online: n= *unbekannt*</v>
      </c>
    </row>
    <row r="239" spans="1:8" x14ac:dyDescent="0.25">
      <c r="A239" s="3"/>
      <c r="B239" s="3"/>
      <c r="C239" s="50" t="s">
        <v>319</v>
      </c>
      <c r="D239" s="3">
        <v>0</v>
      </c>
      <c r="E239" s="2" t="s">
        <v>185</v>
      </c>
      <c r="F239" s="4" t="e">
        <f>SUMPRODUCT((INDEX(Rohdaten!$A$2:$GG$19999,,MATCH(C239,Rohdaten!$1:$1,))&amp;""=D239&amp;"")*(INDEX(Rohdaten!$A$2:$GG$19999,,MATCH("end_date",Rohdaten!$1:$1,))&lt;&gt;""))</f>
        <v>#N/A</v>
      </c>
      <c r="G239" s="4" t="str">
        <f t="shared" si="5"/>
        <v/>
      </c>
    </row>
    <row r="240" spans="1:8" x14ac:dyDescent="0.25">
      <c r="A240" s="3"/>
      <c r="B240" s="3"/>
      <c r="C240" s="50" t="s">
        <v>319</v>
      </c>
      <c r="D240" s="3">
        <v>1</v>
      </c>
      <c r="E240" s="2" t="s">
        <v>186</v>
      </c>
      <c r="F240" s="4" t="e">
        <f>SUMPRODUCT((INDEX(Rohdaten!$A$2:$GG$19999,,MATCH(C240,Rohdaten!$1:$1,))&amp;""=D240&amp;"")*(INDEX(Rohdaten!$A$2:$GG$19999,,MATCH("end_date",Rohdaten!$1:$1,))&lt;&gt;""))</f>
        <v>#N/A</v>
      </c>
      <c r="G240" s="4" t="str">
        <f t="shared" si="5"/>
        <v/>
      </c>
    </row>
    <row r="241" spans="1:8" x14ac:dyDescent="0.25">
      <c r="A241" s="56" t="s">
        <v>156</v>
      </c>
      <c r="B241" s="56" t="s">
        <v>279</v>
      </c>
      <c r="C241" s="56" t="s">
        <v>320</v>
      </c>
      <c r="D241" s="57"/>
      <c r="E241" s="56" t="s">
        <v>45</v>
      </c>
      <c r="F241" s="4" t="e">
        <f>SUMPRODUCT((INDEX(Rohdaten!$A$2:$GG$19999,,MATCH(C241,Rohdaten!$1:$1,))&amp;""=D241&amp;"")*(INDEX(Rohdaten!$A$2:$GG$19999,,MATCH("end_date",Rohdaten!$1:$1,))&lt;&gt;""))</f>
        <v>#N/A</v>
      </c>
      <c r="G241" s="4" t="e">
        <f>IF(MATCH(C241,$C:$C,0)=ROW(C241),SUM(F241:F244),"")</f>
        <v>#N/A</v>
      </c>
      <c r="H241" s="49" t="e">
        <f>CONCATENATE("[Filter] Zielgruppe HDL: n= ",F10)</f>
        <v>#N/A</v>
      </c>
    </row>
    <row r="242" spans="1:8" x14ac:dyDescent="0.25">
      <c r="A242" s="3"/>
      <c r="B242" s="3"/>
      <c r="C242" s="50" t="s">
        <v>320</v>
      </c>
      <c r="D242" s="3">
        <v>0</v>
      </c>
      <c r="E242" s="2" t="s">
        <v>46</v>
      </c>
      <c r="F242" s="4" t="e">
        <f>SUMPRODUCT((INDEX(Rohdaten!$A$2:$GG$19999,,MATCH(C242,Rohdaten!$1:$1,))&amp;""=D242&amp;"")*(INDEX(Rohdaten!$A$2:$GG$19999,,MATCH("end_date",Rohdaten!$1:$1,))&lt;&gt;""))</f>
        <v>#N/A</v>
      </c>
      <c r="G242" s="4" t="str">
        <f>IF(MATCH(C242,$C:$C,0)=ROW(C242),SUM(F242:F244),"")</f>
        <v/>
      </c>
    </row>
    <row r="243" spans="1:8" x14ac:dyDescent="0.25">
      <c r="A243" s="3"/>
      <c r="B243" s="3"/>
      <c r="C243" s="50" t="s">
        <v>320</v>
      </c>
      <c r="D243" s="3">
        <v>1</v>
      </c>
      <c r="E243" s="2" t="s">
        <v>280</v>
      </c>
      <c r="F243" s="4" t="e">
        <f>SUMPRODUCT((INDEX(Rohdaten!$A$2:$GG$19999,,MATCH(C243,Rohdaten!$1:$1,))&amp;""=D243&amp;"")*(INDEX(Rohdaten!$A$2:$GG$19999,,MATCH("end_date",Rohdaten!$1:$1,))&lt;&gt;""))</f>
        <v>#N/A</v>
      </c>
      <c r="G243" s="4" t="str">
        <f>IF(MATCH(C243,$C:$C,0)=ROW(C243),SUM(F243:F245),"")</f>
        <v/>
      </c>
    </row>
    <row r="244" spans="1:8" x14ac:dyDescent="0.25">
      <c r="A244" s="3"/>
      <c r="B244" s="3"/>
      <c r="C244" s="50" t="s">
        <v>320</v>
      </c>
      <c r="D244" s="3">
        <v>2</v>
      </c>
      <c r="E244" s="2" t="s">
        <v>281</v>
      </c>
      <c r="F244" s="4" t="e">
        <f>SUMPRODUCT((INDEX(Rohdaten!$A$2:$GG$19999,,MATCH(C244,Rohdaten!$1:$1,))&amp;""=D244&amp;"")*(INDEX(Rohdaten!$A$2:$GG$19999,,MATCH("end_date",Rohdaten!$1:$1,))&lt;&gt;""))</f>
        <v>#N/A</v>
      </c>
      <c r="G244" s="4" t="str">
        <f>IF(MATCH(C244,$C:$C,0)=ROW(C244),SUM(F244:F246),"")</f>
        <v/>
      </c>
    </row>
    <row r="245" spans="1:8" x14ac:dyDescent="0.25">
      <c r="A245" s="56" t="s">
        <v>156</v>
      </c>
      <c r="B245" s="56" t="s">
        <v>282</v>
      </c>
      <c r="C245" s="56" t="s">
        <v>321</v>
      </c>
      <c r="D245" s="57"/>
      <c r="E245" s="56" t="s">
        <v>45</v>
      </c>
      <c r="F245" s="4" t="e">
        <f>SUMPRODUCT((INDEX(Rohdaten!$A$2:$GG$19999,,MATCH(C245,Rohdaten!$1:$1,))&amp;""=D245&amp;"")*(INDEX(Rohdaten!$A$2:$GG$19999,,MATCH("end_date",Rohdaten!$1:$1,))&lt;&gt;""))</f>
        <v>#N/A</v>
      </c>
      <c r="G245" s="4" t="e">
        <f>IF(MATCH(C245,$C:$C,0)=ROW(C245),SUM(F245:F248),"")</f>
        <v>#N/A</v>
      </c>
      <c r="H245" s="49" t="str">
        <f>CONCATENATE("[Filter] HDL integration in anderen Bereich: n= ",K244)</f>
        <v xml:space="preserve">[Filter] HDL integration in anderen Bereich: n= </v>
      </c>
    </row>
    <row r="246" spans="1:8" x14ac:dyDescent="0.25">
      <c r="A246" s="3"/>
      <c r="B246" s="3"/>
      <c r="C246" s="50" t="s">
        <v>321</v>
      </c>
      <c r="D246" s="3">
        <v>0</v>
      </c>
      <c r="E246" s="2" t="s">
        <v>283</v>
      </c>
      <c r="F246" s="4" t="e">
        <f>SUMPRODUCT((INDEX(Rohdaten!$A$2:$GG$19999,,MATCH(C246,Rohdaten!$1:$1,))&amp;""=D246&amp;"")*(INDEX(Rohdaten!$A$2:$GG$19999,,MATCH("end_date",Rohdaten!$1:$1,))&lt;&gt;""))</f>
        <v>#N/A</v>
      </c>
      <c r="G246" s="4" t="str">
        <f>IF(MATCH(C246,$C:$C,0)=ROW(C246),SUM(F246:F248),"")</f>
        <v/>
      </c>
    </row>
    <row r="247" spans="1:8" x14ac:dyDescent="0.25">
      <c r="A247" s="3"/>
      <c r="B247" s="3"/>
      <c r="C247" s="50" t="s">
        <v>321</v>
      </c>
      <c r="D247" s="3">
        <v>1</v>
      </c>
      <c r="E247" s="2" t="s">
        <v>284</v>
      </c>
      <c r="F247" s="4" t="e">
        <f>SUMPRODUCT((INDEX(Rohdaten!$A$2:$GG$19999,,MATCH(C247,Rohdaten!$1:$1,))&amp;""=D247&amp;"")*(INDEX(Rohdaten!$A$2:$GG$19999,,MATCH("end_date",Rohdaten!$1:$1,))&lt;&gt;""))</f>
        <v>#N/A</v>
      </c>
      <c r="G247" s="4" t="str">
        <f>IF(MATCH(C247,$C:$C,0)=ROW(C247),SUM(F247:F249),"")</f>
        <v/>
      </c>
    </row>
    <row r="248" spans="1:8" x14ac:dyDescent="0.25">
      <c r="A248" s="3"/>
      <c r="B248" s="3"/>
      <c r="C248" s="50" t="s">
        <v>321</v>
      </c>
      <c r="D248" s="3">
        <v>2</v>
      </c>
      <c r="E248" s="2" t="s">
        <v>285</v>
      </c>
      <c r="F248" s="4" t="e">
        <f>SUMPRODUCT((INDEX(Rohdaten!$A$2:$GG$19999,,MATCH(C248,Rohdaten!$1:$1,))&amp;""=D248&amp;"")*(INDEX(Rohdaten!$A$2:$GG$19999,,MATCH("end_date",Rohdaten!$1:$1,))&lt;&gt;""))</f>
        <v>#N/A</v>
      </c>
      <c r="G248" s="4" t="str">
        <f>IF(MATCH(C248,$C:$C,0)=ROW(C248),SUM(F248:F250),"")</f>
        <v/>
      </c>
    </row>
    <row r="249" spans="1:8" x14ac:dyDescent="0.25">
      <c r="A249" s="56" t="s">
        <v>286</v>
      </c>
      <c r="B249" s="56" t="s">
        <v>287</v>
      </c>
      <c r="C249" s="56" t="s">
        <v>322</v>
      </c>
      <c r="D249" s="57"/>
      <c r="E249" s="56" t="s">
        <v>45</v>
      </c>
      <c r="F249" s="4" t="e">
        <f>SUMPRODUCT((INDEX(Rohdaten!$A$2:$GG$19999,,MATCH(C249,Rohdaten!$1:$1,))&amp;""=D249&amp;"")*(INDEX(Rohdaten!$A$2:$GG$19999,,MATCH("end_date",Rohdaten!$1:$1,))&lt;&gt;""))</f>
        <v>#N/A</v>
      </c>
      <c r="G249" s="4" t="e">
        <f>IF(MATCH(C249,$C:$C,0)=ROW(C249),SUM(F249:F255),"")</f>
        <v>#N/A</v>
      </c>
    </row>
    <row r="250" spans="1:8" x14ac:dyDescent="0.25">
      <c r="A250" s="3"/>
      <c r="B250" s="3"/>
      <c r="C250" s="51" t="s">
        <v>322</v>
      </c>
      <c r="D250" s="3">
        <v>0</v>
      </c>
      <c r="E250" s="2" t="s">
        <v>288</v>
      </c>
      <c r="F250" s="4" t="e">
        <f>SUMPRODUCT((INDEX(Rohdaten!$A$2:$GG$19999,,MATCH(C250,Rohdaten!$1:$1,))&amp;""=D250&amp;"")*(INDEX(Rohdaten!$A$2:$GG$19999,,MATCH("end_date",Rohdaten!$1:$1,))&lt;&gt;""))</f>
        <v>#N/A</v>
      </c>
      <c r="G250" s="4" t="str">
        <f t="shared" ref="G250:G255" si="6">IF(MATCH(C250,$C:$C,0)=ROW(C250),SUM(F250:F252),"")</f>
        <v/>
      </c>
    </row>
    <row r="251" spans="1:8" x14ac:dyDescent="0.25">
      <c r="A251" s="3"/>
      <c r="B251" s="3"/>
      <c r="C251" s="51" t="s">
        <v>322</v>
      </c>
      <c r="D251" s="3">
        <v>1</v>
      </c>
      <c r="E251" s="2" t="s">
        <v>289</v>
      </c>
      <c r="F251" s="4" t="e">
        <f>SUMPRODUCT((INDEX(Rohdaten!$A$2:$GG$19999,,MATCH(C251,Rohdaten!$1:$1,))&amp;""=D251&amp;"")*(INDEX(Rohdaten!$A$2:$GG$19999,,MATCH("end_date",Rohdaten!$1:$1,))&lt;&gt;""))</f>
        <v>#N/A</v>
      </c>
      <c r="G251" s="4" t="str">
        <f t="shared" si="6"/>
        <v/>
      </c>
    </row>
    <row r="252" spans="1:8" x14ac:dyDescent="0.25">
      <c r="A252" s="3"/>
      <c r="B252" s="3"/>
      <c r="C252" s="51" t="s">
        <v>322</v>
      </c>
      <c r="D252" s="3">
        <v>2</v>
      </c>
      <c r="E252" s="2" t="s">
        <v>290</v>
      </c>
      <c r="F252" s="4" t="e">
        <f>SUMPRODUCT((INDEX(Rohdaten!$A$2:$GG$19999,,MATCH(C252,Rohdaten!$1:$1,))&amp;""=D252&amp;"")*(INDEX(Rohdaten!$A$2:$GG$19999,,MATCH("end_date",Rohdaten!$1:$1,))&lt;&gt;""))</f>
        <v>#N/A</v>
      </c>
      <c r="G252" s="4" t="str">
        <f t="shared" si="6"/>
        <v/>
      </c>
    </row>
    <row r="253" spans="1:8" x14ac:dyDescent="0.25">
      <c r="A253" s="3"/>
      <c r="B253" s="3"/>
      <c r="C253" s="51" t="s">
        <v>322</v>
      </c>
      <c r="D253" s="3">
        <v>3</v>
      </c>
      <c r="E253" s="2" t="s">
        <v>421</v>
      </c>
      <c r="F253" s="4" t="e">
        <f>SUMPRODUCT((INDEX(Rohdaten!$A$2:$GG$19999,,MATCH(C253,Rohdaten!$1:$1,))&amp;""=D253&amp;"")*(INDEX(Rohdaten!$A$2:$GG$19999,,MATCH("end_date",Rohdaten!$1:$1,))&lt;&gt;""))</f>
        <v>#N/A</v>
      </c>
      <c r="G253" s="4" t="str">
        <f t="shared" si="6"/>
        <v/>
      </c>
    </row>
    <row r="254" spans="1:8" x14ac:dyDescent="0.25">
      <c r="A254" s="3"/>
      <c r="B254" s="3"/>
      <c r="C254" s="51" t="s">
        <v>322</v>
      </c>
      <c r="D254" s="3">
        <v>4</v>
      </c>
      <c r="E254" s="2" t="s">
        <v>291</v>
      </c>
      <c r="F254" s="4" t="e">
        <f>SUMPRODUCT((INDEX(Rohdaten!$A$2:$GG$19999,,MATCH(C254,Rohdaten!$1:$1,))&amp;""=D254&amp;"")*(INDEX(Rohdaten!$A$2:$GG$19999,,MATCH("end_date",Rohdaten!$1:$1,))&lt;&gt;""))</f>
        <v>#N/A</v>
      </c>
      <c r="G254" s="4" t="str">
        <f t="shared" si="6"/>
        <v/>
      </c>
    </row>
    <row r="255" spans="1:8" x14ac:dyDescent="0.25">
      <c r="A255" s="3"/>
      <c r="B255" s="3"/>
      <c r="C255" s="51" t="s">
        <v>322</v>
      </c>
      <c r="D255" s="3">
        <v>5</v>
      </c>
      <c r="E255" s="2" t="s">
        <v>292</v>
      </c>
      <c r="F255" s="4" t="e">
        <f>SUMPRODUCT((INDEX(Rohdaten!$A$2:$GG$19999,,MATCH(C255,Rohdaten!$1:$1,))&amp;""=D255&amp;"")*(INDEX(Rohdaten!$A$2:$GG$19999,,MATCH("end_date",Rohdaten!$1:$1,))&lt;&gt;""))</f>
        <v>#N/A</v>
      </c>
      <c r="G255" s="4" t="str">
        <f t="shared" si="6"/>
        <v/>
      </c>
    </row>
    <row r="256" spans="1:8" x14ac:dyDescent="0.25">
      <c r="A256" s="56" t="s">
        <v>286</v>
      </c>
      <c r="B256" s="56" t="s">
        <v>293</v>
      </c>
      <c r="C256" s="56" t="s">
        <v>323</v>
      </c>
      <c r="D256" s="57"/>
      <c r="E256" s="56" t="s">
        <v>45</v>
      </c>
      <c r="F256" s="4" t="e">
        <f>SUMPRODUCT((INDEX(Rohdaten!$A$2:$GG$19999,,MATCH(C256,Rohdaten!$1:$1,))&amp;""=D256&amp;"")*(INDEX(Rohdaten!$A$2:$GG$19999,,MATCH("end_date",Rohdaten!$1:$1,))&lt;&gt;""))</f>
        <v>#N/A</v>
      </c>
      <c r="G256" s="4" t="e">
        <f>IF(MATCH(C256,$C:$C,0)=ROW(C256),SUM(F256:F260),"")</f>
        <v>#N/A</v>
      </c>
      <c r="H256" s="49" t="str">
        <f>CONCATENATE("[Filter] Integration ins sv-pflichtige oder geföerderte Beschäftigung: n= ",K250+K251)</f>
        <v>[Filter] Integration ins sv-pflichtige oder geföerderte Beschäftigung: n= 0</v>
      </c>
    </row>
    <row r="257" spans="1:8" x14ac:dyDescent="0.25">
      <c r="A257" s="3"/>
      <c r="B257" s="3"/>
      <c r="C257" s="50" t="s">
        <v>323</v>
      </c>
      <c r="D257" s="3">
        <v>1</v>
      </c>
      <c r="E257" s="2" t="s">
        <v>189</v>
      </c>
      <c r="F257" s="4" t="e">
        <f>SUMPRODUCT((INDEX(Rohdaten!$A$2:$GG$19999,,MATCH(C257,Rohdaten!$1:$1,))&amp;""=D257&amp;"")*(INDEX(Rohdaten!$A$2:$GG$19999,,MATCH("end_date",Rohdaten!$1:$1,))&lt;&gt;""))</f>
        <v>#N/A</v>
      </c>
      <c r="G257" s="4" t="str">
        <f t="shared" ref="G257:G263" si="7">IF(MATCH(C257,$C:$C,0)=ROW(C257),SUM(F257:F259),"")</f>
        <v/>
      </c>
      <c r="H257" s="3"/>
    </row>
    <row r="258" spans="1:8" x14ac:dyDescent="0.25">
      <c r="A258" s="3"/>
      <c r="B258" s="3"/>
      <c r="C258" s="50" t="s">
        <v>323</v>
      </c>
      <c r="D258" s="3">
        <v>2</v>
      </c>
      <c r="E258" s="2" t="s">
        <v>190</v>
      </c>
      <c r="F258" s="4" t="e">
        <f>SUMPRODUCT((INDEX(Rohdaten!$A$2:$GG$19999,,MATCH(C258,Rohdaten!$1:$1,))&amp;""=D258&amp;"")*(INDEX(Rohdaten!$A$2:$GG$19999,,MATCH("end_date",Rohdaten!$1:$1,))&lt;&gt;""))</f>
        <v>#N/A</v>
      </c>
      <c r="G258" s="4" t="str">
        <f t="shared" si="7"/>
        <v/>
      </c>
      <c r="H258" s="3"/>
    </row>
    <row r="259" spans="1:8" x14ac:dyDescent="0.25">
      <c r="A259" s="3"/>
      <c r="B259" s="3"/>
      <c r="C259" s="50" t="s">
        <v>323</v>
      </c>
      <c r="D259" s="3">
        <v>3</v>
      </c>
      <c r="E259" s="2" t="s">
        <v>191</v>
      </c>
      <c r="F259" s="4" t="e">
        <f>SUMPRODUCT((INDEX(Rohdaten!$A$2:$GG$19999,,MATCH(C259,Rohdaten!$1:$1,))&amp;""=D259&amp;"")*(INDEX(Rohdaten!$A$2:$GG$19999,,MATCH("end_date",Rohdaten!$1:$1,))&lt;&gt;""))</f>
        <v>#N/A</v>
      </c>
      <c r="G259" s="4" t="str">
        <f t="shared" si="7"/>
        <v/>
      </c>
      <c r="H259" s="3"/>
    </row>
    <row r="260" spans="1:8" x14ac:dyDescent="0.25">
      <c r="A260" s="3"/>
      <c r="B260" s="3"/>
      <c r="C260" s="50" t="s">
        <v>323</v>
      </c>
      <c r="D260" s="3">
        <v>4</v>
      </c>
      <c r="E260" s="2" t="s">
        <v>192</v>
      </c>
      <c r="F260" s="4" t="e">
        <f>SUMPRODUCT((INDEX(Rohdaten!$A$2:$GG$19999,,MATCH(C260,Rohdaten!$1:$1,))&amp;""=D260&amp;"")*(INDEX(Rohdaten!$A$2:$GG$19999,,MATCH("end_date",Rohdaten!$1:$1,))&lt;&gt;""))</f>
        <v>#N/A</v>
      </c>
      <c r="G260" s="4" t="str">
        <f t="shared" si="7"/>
        <v/>
      </c>
      <c r="H260" s="3"/>
    </row>
    <row r="261" spans="1:8" x14ac:dyDescent="0.25">
      <c r="A261" s="56" t="s">
        <v>286</v>
      </c>
      <c r="B261" s="56" t="s">
        <v>294</v>
      </c>
      <c r="C261" s="56" t="s">
        <v>324</v>
      </c>
      <c r="D261" s="57"/>
      <c r="E261" s="56" t="s">
        <v>45</v>
      </c>
      <c r="F261" s="4" t="e">
        <f>SUMPRODUCT((INDEX(Rohdaten!$A$2:$GG$19999,,MATCH(C261,Rohdaten!$1:$1,))&amp;""=D261&amp;"")*(INDEX(Rohdaten!$A$2:$GG$19999,,MATCH("end_date",Rohdaten!$1:$1,))&lt;&gt;""))</f>
        <v>#N/A</v>
      </c>
      <c r="G261" s="4" t="e">
        <f t="shared" si="7"/>
        <v>#N/A</v>
      </c>
      <c r="H261" s="49" t="str">
        <f>CONCATENATE("[Filter] Integration in sv-pflichtige oder geförderte Beschäftigung: n= ",K250+K251)</f>
        <v>[Filter] Integration in sv-pflichtige oder geförderte Beschäftigung: n= 0</v>
      </c>
    </row>
    <row r="262" spans="1:8" x14ac:dyDescent="0.25">
      <c r="A262" s="3"/>
      <c r="B262" s="3"/>
      <c r="C262" s="50" t="s">
        <v>324</v>
      </c>
      <c r="D262" s="3">
        <v>0</v>
      </c>
      <c r="E262" s="2" t="s">
        <v>185</v>
      </c>
      <c r="F262" s="4" t="e">
        <f>SUMPRODUCT((INDEX(Rohdaten!$A$2:$GG$19999,,MATCH(C262,Rohdaten!$1:$1,))&amp;""=D262&amp;"")*(INDEX(Rohdaten!$A$2:$GG$19999,,MATCH("end_date",Rohdaten!$1:$1,))&lt;&gt;""))</f>
        <v>#N/A</v>
      </c>
      <c r="G262" s="4" t="str">
        <f t="shared" si="7"/>
        <v/>
      </c>
      <c r="H262" s="3"/>
    </row>
    <row r="263" spans="1:8" x14ac:dyDescent="0.25">
      <c r="A263" s="3"/>
      <c r="B263" s="3"/>
      <c r="C263" s="50" t="s">
        <v>324</v>
      </c>
      <c r="D263" s="3">
        <v>1</v>
      </c>
      <c r="E263" s="2" t="s">
        <v>186</v>
      </c>
      <c r="F263" s="4" t="e">
        <f>SUMPRODUCT((INDEX(Rohdaten!$A$2:$GG$19999,,MATCH(C263,Rohdaten!$1:$1,))&amp;""=D263&amp;"")*(INDEX(Rohdaten!$A$2:$GG$19999,,MATCH("end_date",Rohdaten!$1:$1,))&lt;&gt;""))</f>
        <v>#N/A</v>
      </c>
      <c r="G263" s="4" t="str">
        <f t="shared" si="7"/>
        <v/>
      </c>
      <c r="H263" s="3"/>
    </row>
    <row r="264" spans="1:8" x14ac:dyDescent="0.25">
      <c r="A264" s="55" t="s">
        <v>286</v>
      </c>
      <c r="B264" s="37" t="s">
        <v>295</v>
      </c>
      <c r="C264" s="56" t="s">
        <v>325</v>
      </c>
      <c r="D264" s="57"/>
      <c r="E264" s="37" t="s">
        <v>45</v>
      </c>
      <c r="F264" s="4" t="e">
        <f>SUMPRODUCT((INDEX(Rohdaten!$A$2:$GG$19999,,MATCH(C264,Rohdaten!$1:$1,))&amp;""=D264&amp;"")*(INDEX(Rohdaten!$A$2:$GG$19999,,MATCH("end_date",Rohdaten!$1:$1,))&lt;&gt;""))</f>
        <v>#N/A</v>
      </c>
      <c r="G264" s="4" t="e">
        <f>IF(MATCH(C264,$C:$C,0)=ROW(C264),SUM(F264:F285),"")</f>
        <v>#N/A</v>
      </c>
      <c r="H264" s="49" t="str">
        <f>CONCATENATE("[Filter] Integration in sv-pflichtige und ZG ist nicht HDL n= ","*unbekannt*")</f>
        <v>[Filter] Integration in sv-pflichtige und ZG ist nicht HDL n= *unbekannt*</v>
      </c>
    </row>
    <row r="265" spans="1:8" x14ac:dyDescent="0.25">
      <c r="A265" s="3"/>
      <c r="B265" s="3"/>
      <c r="C265" s="50" t="s">
        <v>325</v>
      </c>
      <c r="D265" s="52">
        <v>1</v>
      </c>
      <c r="E265" s="53" t="s">
        <v>196</v>
      </c>
      <c r="F265" s="4" t="e">
        <f>SUMPRODUCT((INDEX(Rohdaten!$A$2:$GG$19999,,MATCH(C265,Rohdaten!$1:$1,))&amp;""=D265&amp;"")*(INDEX(Rohdaten!$A$2:$GG$19999,,MATCH("end_date",Rohdaten!$1:$1,))&lt;&gt;""))</f>
        <v>#N/A</v>
      </c>
      <c r="G265" s="4" t="str">
        <f t="shared" ref="G265:G294" si="8">IF(MATCH(C265,$C:$C,0)=ROW(C265),SUM(F265:F267),"")</f>
        <v/>
      </c>
    </row>
    <row r="266" spans="1:8" x14ac:dyDescent="0.25">
      <c r="A266" s="3"/>
      <c r="B266" s="3"/>
      <c r="C266" s="50" t="s">
        <v>325</v>
      </c>
      <c r="D266" s="52">
        <v>10</v>
      </c>
      <c r="E266" s="53" t="s">
        <v>197</v>
      </c>
      <c r="F266" s="4" t="e">
        <f>SUMPRODUCT((INDEX(Rohdaten!$A$2:$GG$19999,,MATCH(C266,Rohdaten!$1:$1,))&amp;""=D266&amp;"")*(INDEX(Rohdaten!$A$2:$GG$19999,,MATCH("end_date",Rohdaten!$1:$1,))&lt;&gt;""))</f>
        <v>#N/A</v>
      </c>
      <c r="G266" s="4" t="str">
        <f t="shared" si="8"/>
        <v/>
      </c>
    </row>
    <row r="267" spans="1:8" x14ac:dyDescent="0.25">
      <c r="A267" s="3"/>
      <c r="B267" s="3"/>
      <c r="C267" s="50" t="s">
        <v>325</v>
      </c>
      <c r="D267" s="52">
        <v>11</v>
      </c>
      <c r="E267" s="53" t="s">
        <v>198</v>
      </c>
      <c r="F267" s="4" t="e">
        <f>SUMPRODUCT((INDEX(Rohdaten!$A$2:$GG$19999,,MATCH(C267,Rohdaten!$1:$1,))&amp;""=D267&amp;"")*(INDEX(Rohdaten!$A$2:$GG$19999,,MATCH("end_date",Rohdaten!$1:$1,))&lt;&gt;""))</f>
        <v>#N/A</v>
      </c>
      <c r="G267" s="4" t="str">
        <f t="shared" si="8"/>
        <v/>
      </c>
    </row>
    <row r="268" spans="1:8" x14ac:dyDescent="0.25">
      <c r="A268" s="3"/>
      <c r="B268" s="3"/>
      <c r="C268" s="50" t="s">
        <v>325</v>
      </c>
      <c r="D268" s="52">
        <v>12</v>
      </c>
      <c r="E268" s="53" t="s">
        <v>199</v>
      </c>
      <c r="F268" s="4" t="e">
        <f>SUMPRODUCT((INDEX(Rohdaten!$A$2:$GG$19999,,MATCH(C268,Rohdaten!$1:$1,))&amp;""=D268&amp;"")*(INDEX(Rohdaten!$A$2:$GG$19999,,MATCH("end_date",Rohdaten!$1:$1,))&lt;&gt;""))</f>
        <v>#N/A</v>
      </c>
      <c r="G268" s="4" t="str">
        <f t="shared" si="8"/>
        <v/>
      </c>
    </row>
    <row r="269" spans="1:8" x14ac:dyDescent="0.25">
      <c r="A269" s="3"/>
      <c r="B269" s="3"/>
      <c r="C269" s="50" t="s">
        <v>325</v>
      </c>
      <c r="D269" s="52">
        <v>13</v>
      </c>
      <c r="E269" s="53" t="s">
        <v>200</v>
      </c>
      <c r="F269" s="4" t="e">
        <f>SUMPRODUCT((INDEX(Rohdaten!$A$2:$GG$19999,,MATCH(C269,Rohdaten!$1:$1,))&amp;""=D269&amp;"")*(INDEX(Rohdaten!$A$2:$GG$19999,,MATCH("end_date",Rohdaten!$1:$1,))&lt;&gt;""))</f>
        <v>#N/A</v>
      </c>
      <c r="G269" s="4" t="str">
        <f t="shared" si="8"/>
        <v/>
      </c>
    </row>
    <row r="270" spans="1:8" x14ac:dyDescent="0.25">
      <c r="A270" s="3"/>
      <c r="B270" s="3"/>
      <c r="C270" s="50" t="s">
        <v>325</v>
      </c>
      <c r="D270" s="52">
        <v>14</v>
      </c>
      <c r="E270" s="53" t="s">
        <v>201</v>
      </c>
      <c r="F270" s="4" t="e">
        <f>SUMPRODUCT((INDEX(Rohdaten!$A$2:$GG$19999,,MATCH(C270,Rohdaten!$1:$1,))&amp;""=D270&amp;"")*(INDEX(Rohdaten!$A$2:$GG$19999,,MATCH("end_date",Rohdaten!$1:$1,))&lt;&gt;""))</f>
        <v>#N/A</v>
      </c>
      <c r="G270" s="4" t="str">
        <f t="shared" si="8"/>
        <v/>
      </c>
    </row>
    <row r="271" spans="1:8" x14ac:dyDescent="0.25">
      <c r="A271" s="3"/>
      <c r="B271" s="3"/>
      <c r="C271" s="50" t="s">
        <v>325</v>
      </c>
      <c r="D271" s="52">
        <v>15</v>
      </c>
      <c r="E271" s="53" t="s">
        <v>202</v>
      </c>
      <c r="F271" s="4" t="e">
        <f>SUMPRODUCT((INDEX(Rohdaten!$A$2:$GG$19999,,MATCH(C271,Rohdaten!$1:$1,))&amp;""=D271&amp;"")*(INDEX(Rohdaten!$A$2:$GG$19999,,MATCH("end_date",Rohdaten!$1:$1,))&lt;&gt;""))</f>
        <v>#N/A</v>
      </c>
      <c r="G271" s="4" t="str">
        <f t="shared" si="8"/>
        <v/>
      </c>
    </row>
    <row r="272" spans="1:8" x14ac:dyDescent="0.25">
      <c r="A272" s="3"/>
      <c r="B272" s="3"/>
      <c r="C272" s="50" t="s">
        <v>325</v>
      </c>
      <c r="D272" s="52">
        <v>16</v>
      </c>
      <c r="E272" s="53" t="s">
        <v>203</v>
      </c>
      <c r="F272" s="4" t="e">
        <f>SUMPRODUCT((INDEX(Rohdaten!$A$2:$GG$19999,,MATCH(C272,Rohdaten!$1:$1,))&amp;""=D272&amp;"")*(INDEX(Rohdaten!$A$2:$GG$19999,,MATCH("end_date",Rohdaten!$1:$1,))&lt;&gt;""))</f>
        <v>#N/A</v>
      </c>
      <c r="G272" s="4" t="str">
        <f t="shared" si="8"/>
        <v/>
      </c>
    </row>
    <row r="273" spans="1:8" x14ac:dyDescent="0.25">
      <c r="A273" s="3"/>
      <c r="B273" s="3"/>
      <c r="C273" s="50" t="s">
        <v>325</v>
      </c>
      <c r="D273" s="52">
        <v>17</v>
      </c>
      <c r="E273" s="53" t="s">
        <v>204</v>
      </c>
      <c r="F273" s="4" t="e">
        <f>SUMPRODUCT((INDEX(Rohdaten!$A$2:$GG$19999,,MATCH(C273,Rohdaten!$1:$1,))&amp;""=D273&amp;"")*(INDEX(Rohdaten!$A$2:$GG$19999,,MATCH("end_date",Rohdaten!$1:$1,))&lt;&gt;""))</f>
        <v>#N/A</v>
      </c>
      <c r="G273" s="4" t="str">
        <f t="shared" si="8"/>
        <v/>
      </c>
    </row>
    <row r="274" spans="1:8" x14ac:dyDescent="0.25">
      <c r="A274" s="3"/>
      <c r="B274" s="3"/>
      <c r="C274" s="50" t="s">
        <v>325</v>
      </c>
      <c r="D274" s="52">
        <v>18</v>
      </c>
      <c r="E274" s="53" t="s">
        <v>205</v>
      </c>
      <c r="F274" s="4" t="e">
        <f>SUMPRODUCT((INDEX(Rohdaten!$A$2:$GG$19999,,MATCH(C274,Rohdaten!$1:$1,))&amp;""=D274&amp;"")*(INDEX(Rohdaten!$A$2:$GG$19999,,MATCH("end_date",Rohdaten!$1:$1,))&lt;&gt;""))</f>
        <v>#N/A</v>
      </c>
      <c r="G274" s="4" t="str">
        <f t="shared" si="8"/>
        <v/>
      </c>
    </row>
    <row r="275" spans="1:8" x14ac:dyDescent="0.25">
      <c r="A275" s="3"/>
      <c r="B275" s="3"/>
      <c r="C275" s="50" t="s">
        <v>325</v>
      </c>
      <c r="D275" s="52">
        <v>19</v>
      </c>
      <c r="E275" s="53" t="s">
        <v>206</v>
      </c>
      <c r="F275" s="4" t="e">
        <f>SUMPRODUCT((INDEX(Rohdaten!$A$2:$GG$19999,,MATCH(C275,Rohdaten!$1:$1,))&amp;""=D275&amp;"")*(INDEX(Rohdaten!$A$2:$GG$19999,,MATCH("end_date",Rohdaten!$1:$1,))&lt;&gt;""))</f>
        <v>#N/A</v>
      </c>
      <c r="G275" s="4" t="str">
        <f t="shared" si="8"/>
        <v/>
      </c>
    </row>
    <row r="276" spans="1:8" x14ac:dyDescent="0.25">
      <c r="A276" s="3"/>
      <c r="B276" s="3"/>
      <c r="C276" s="50" t="s">
        <v>325</v>
      </c>
      <c r="D276" s="52">
        <v>2</v>
      </c>
      <c r="E276" s="53" t="s">
        <v>207</v>
      </c>
      <c r="F276" s="4" t="e">
        <f>SUMPRODUCT((INDEX(Rohdaten!$A$2:$GG$19999,,MATCH(C276,Rohdaten!$1:$1,))&amp;""=D276&amp;"")*(INDEX(Rohdaten!$A$2:$GG$19999,,MATCH("end_date",Rohdaten!$1:$1,))&lt;&gt;""))</f>
        <v>#N/A</v>
      </c>
      <c r="G276" s="4" t="str">
        <f t="shared" si="8"/>
        <v/>
      </c>
    </row>
    <row r="277" spans="1:8" x14ac:dyDescent="0.25">
      <c r="A277" s="3"/>
      <c r="B277" s="3"/>
      <c r="C277" s="50" t="s">
        <v>325</v>
      </c>
      <c r="D277" s="52">
        <v>20</v>
      </c>
      <c r="E277" s="53" t="s">
        <v>208</v>
      </c>
      <c r="F277" s="4" t="e">
        <f>SUMPRODUCT((INDEX(Rohdaten!$A$2:$GG$19999,,MATCH(C277,Rohdaten!$1:$1,))&amp;""=D277&amp;"")*(INDEX(Rohdaten!$A$2:$GG$19999,,MATCH("end_date",Rohdaten!$1:$1,))&lt;&gt;""))</f>
        <v>#N/A</v>
      </c>
      <c r="G277" s="4" t="str">
        <f t="shared" si="8"/>
        <v/>
      </c>
    </row>
    <row r="278" spans="1:8" x14ac:dyDescent="0.25">
      <c r="A278" s="3"/>
      <c r="B278" s="3"/>
      <c r="C278" s="50" t="s">
        <v>325</v>
      </c>
      <c r="D278" s="52">
        <v>21</v>
      </c>
      <c r="E278" s="53" t="s">
        <v>209</v>
      </c>
      <c r="F278" s="4" t="e">
        <f>SUMPRODUCT((INDEX(Rohdaten!$A$2:$GG$19999,,MATCH(C278,Rohdaten!$1:$1,))&amp;""=D278&amp;"")*(INDEX(Rohdaten!$A$2:$GG$19999,,MATCH("end_date",Rohdaten!$1:$1,))&lt;&gt;""))</f>
        <v>#N/A</v>
      </c>
      <c r="G278" s="4" t="str">
        <f t="shared" si="8"/>
        <v/>
      </c>
    </row>
    <row r="279" spans="1:8" x14ac:dyDescent="0.25">
      <c r="A279" s="3"/>
      <c r="B279" s="3"/>
      <c r="C279" s="50" t="s">
        <v>325</v>
      </c>
      <c r="D279" s="52">
        <v>3</v>
      </c>
      <c r="E279" s="53" t="s">
        <v>210</v>
      </c>
      <c r="F279" s="4" t="e">
        <f>SUMPRODUCT((INDEX(Rohdaten!$A$2:$GG$19999,,MATCH(C279,Rohdaten!$1:$1,))&amp;""=D279&amp;"")*(INDEX(Rohdaten!$A$2:$GG$19999,,MATCH("end_date",Rohdaten!$1:$1,))&lt;&gt;""))</f>
        <v>#N/A</v>
      </c>
      <c r="G279" s="4" t="str">
        <f t="shared" si="8"/>
        <v/>
      </c>
    </row>
    <row r="280" spans="1:8" x14ac:dyDescent="0.25">
      <c r="A280" s="3"/>
      <c r="B280" s="3"/>
      <c r="C280" s="50" t="s">
        <v>325</v>
      </c>
      <c r="D280" s="52">
        <v>4</v>
      </c>
      <c r="E280" s="53" t="s">
        <v>211</v>
      </c>
      <c r="F280" s="4" t="e">
        <f>SUMPRODUCT((INDEX(Rohdaten!$A$2:$GG$19999,,MATCH(C280,Rohdaten!$1:$1,))&amp;""=D280&amp;"")*(INDEX(Rohdaten!$A$2:$GG$19999,,MATCH("end_date",Rohdaten!$1:$1,))&lt;&gt;""))</f>
        <v>#N/A</v>
      </c>
      <c r="G280" s="4" t="str">
        <f t="shared" si="8"/>
        <v/>
      </c>
    </row>
    <row r="281" spans="1:8" x14ac:dyDescent="0.25">
      <c r="A281" s="3"/>
      <c r="B281" s="3"/>
      <c r="C281" s="50" t="s">
        <v>325</v>
      </c>
      <c r="D281" s="52">
        <v>5</v>
      </c>
      <c r="E281" s="53" t="s">
        <v>212</v>
      </c>
      <c r="F281" s="4" t="e">
        <f>SUMPRODUCT((INDEX(Rohdaten!$A$2:$GG$19999,,MATCH(C281,Rohdaten!$1:$1,))&amp;""=D281&amp;"")*(INDEX(Rohdaten!$A$2:$GG$19999,,MATCH("end_date",Rohdaten!$1:$1,))&lt;&gt;""))</f>
        <v>#N/A</v>
      </c>
      <c r="G281" s="4" t="str">
        <f t="shared" si="8"/>
        <v/>
      </c>
    </row>
    <row r="282" spans="1:8" x14ac:dyDescent="0.25">
      <c r="A282" s="3"/>
      <c r="B282" s="3"/>
      <c r="C282" s="50" t="s">
        <v>325</v>
      </c>
      <c r="D282" s="52">
        <v>6</v>
      </c>
      <c r="E282" s="53" t="s">
        <v>213</v>
      </c>
      <c r="F282" s="4" t="e">
        <f>SUMPRODUCT((INDEX(Rohdaten!$A$2:$GG$19999,,MATCH(C282,Rohdaten!$1:$1,))&amp;""=D282&amp;"")*(INDEX(Rohdaten!$A$2:$GG$19999,,MATCH("end_date",Rohdaten!$1:$1,))&lt;&gt;""))</f>
        <v>#N/A</v>
      </c>
      <c r="G282" s="4" t="str">
        <f t="shared" si="8"/>
        <v/>
      </c>
    </row>
    <row r="283" spans="1:8" x14ac:dyDescent="0.25">
      <c r="A283" s="3"/>
      <c r="B283" s="3"/>
      <c r="C283" s="50" t="s">
        <v>325</v>
      </c>
      <c r="D283" s="52">
        <v>7</v>
      </c>
      <c r="E283" s="53" t="s">
        <v>214</v>
      </c>
      <c r="F283" s="4" t="e">
        <f>SUMPRODUCT((INDEX(Rohdaten!$A$2:$GG$19999,,MATCH(C283,Rohdaten!$1:$1,))&amp;""=D283&amp;"")*(INDEX(Rohdaten!$A$2:$GG$19999,,MATCH("end_date",Rohdaten!$1:$1,))&lt;&gt;""))</f>
        <v>#N/A</v>
      </c>
      <c r="G283" s="4" t="str">
        <f t="shared" si="8"/>
        <v/>
      </c>
    </row>
    <row r="284" spans="1:8" x14ac:dyDescent="0.25">
      <c r="A284" s="3"/>
      <c r="B284" s="3"/>
      <c r="C284" s="50" t="s">
        <v>325</v>
      </c>
      <c r="D284" s="52">
        <v>8</v>
      </c>
      <c r="E284" s="53" t="s">
        <v>215</v>
      </c>
      <c r="F284" s="4" t="e">
        <f>SUMPRODUCT((INDEX(Rohdaten!$A$2:$GG$19999,,MATCH(C284,Rohdaten!$1:$1,))&amp;""=D284&amp;"")*(INDEX(Rohdaten!$A$2:$GG$19999,,MATCH("end_date",Rohdaten!$1:$1,))&lt;&gt;""))</f>
        <v>#N/A</v>
      </c>
      <c r="G284" s="4" t="str">
        <f t="shared" si="8"/>
        <v/>
      </c>
    </row>
    <row r="285" spans="1:8" x14ac:dyDescent="0.25">
      <c r="A285" s="3"/>
      <c r="B285" s="3"/>
      <c r="C285" s="50" t="s">
        <v>325</v>
      </c>
      <c r="D285" s="52">
        <v>9</v>
      </c>
      <c r="E285" s="53" t="s">
        <v>216</v>
      </c>
      <c r="F285" s="4" t="e">
        <f>SUMPRODUCT((INDEX(Rohdaten!$A$2:$GG$19999,,MATCH(C285,Rohdaten!$1:$1,))&amp;""=D285&amp;"")*(INDEX(Rohdaten!$A$2:$GG$19999,,MATCH("end_date",Rohdaten!$1:$1,))&lt;&gt;""))</f>
        <v>#N/A</v>
      </c>
      <c r="G285" s="4" t="str">
        <f t="shared" si="8"/>
        <v/>
      </c>
    </row>
    <row r="286" spans="1:8" x14ac:dyDescent="0.25">
      <c r="A286" s="55" t="s">
        <v>296</v>
      </c>
      <c r="B286" s="37" t="s">
        <v>297</v>
      </c>
      <c r="C286" s="56" t="s">
        <v>326</v>
      </c>
      <c r="D286" s="57"/>
      <c r="E286" s="37" t="s">
        <v>45</v>
      </c>
      <c r="F286" s="4" t="e">
        <f>SUMPRODUCT((INDEX(Rohdaten!$A$2:$GG$19999,,MATCH(C286,Rohdaten!$1:$1,))&amp;""=D286&amp;"")*(INDEX(Rohdaten!$A$2:$GG$19999,,MATCH("end_date",Rohdaten!$1:$1,))&lt;&gt;""))</f>
        <v>#N/A</v>
      </c>
      <c r="G286" s="4" t="e">
        <f t="shared" si="8"/>
        <v>#N/A</v>
      </c>
      <c r="H286" s="49" t="str">
        <f>CONCATENATE("[Filter] Integration in Beschäftigung: n= ",K250+K251+K252+K253)</f>
        <v>[Filter] Integration in Beschäftigung: n= 0</v>
      </c>
    </row>
    <row r="287" spans="1:8" x14ac:dyDescent="0.25">
      <c r="A287" s="3"/>
      <c r="B287" s="3"/>
      <c r="C287" s="50" t="s">
        <v>326</v>
      </c>
      <c r="D287" s="3">
        <v>0</v>
      </c>
      <c r="E287" s="2" t="s">
        <v>185</v>
      </c>
      <c r="F287" s="4" t="e">
        <f>SUMPRODUCT((INDEX(Rohdaten!$A$2:$GG$19999,,MATCH(C287,Rohdaten!$1:$1,))&amp;""=D287&amp;"")*(INDEX(Rohdaten!$A$2:$GG$19999,,MATCH("end_date",Rohdaten!$1:$1,))&lt;&gt;""))</f>
        <v>#N/A</v>
      </c>
      <c r="G287" s="4" t="str">
        <f t="shared" si="8"/>
        <v/>
      </c>
      <c r="H287" s="3"/>
    </row>
    <row r="288" spans="1:8" x14ac:dyDescent="0.25">
      <c r="A288" s="3"/>
      <c r="B288" s="3"/>
      <c r="C288" s="50" t="s">
        <v>326</v>
      </c>
      <c r="D288" s="3">
        <v>1</v>
      </c>
      <c r="E288" s="2" t="s">
        <v>186</v>
      </c>
      <c r="F288" s="4" t="e">
        <f>SUMPRODUCT((INDEX(Rohdaten!$A$2:$GG$19999,,MATCH(C288,Rohdaten!$1:$1,))&amp;""=D288&amp;"")*(INDEX(Rohdaten!$A$2:$GG$19999,,MATCH("end_date",Rohdaten!$1:$1,))&lt;&gt;""))</f>
        <v>#N/A</v>
      </c>
      <c r="G288" s="4" t="str">
        <f t="shared" si="8"/>
        <v/>
      </c>
      <c r="H288" s="3"/>
    </row>
    <row r="289" spans="1:9" x14ac:dyDescent="0.25">
      <c r="A289" s="55" t="s">
        <v>296</v>
      </c>
      <c r="B289" s="37" t="s">
        <v>298</v>
      </c>
      <c r="C289" s="56" t="s">
        <v>327</v>
      </c>
      <c r="D289" s="57"/>
      <c r="E289" s="37" t="s">
        <v>45</v>
      </c>
      <c r="F289" s="4" t="e">
        <f>SUMPRODUCT((INDEX(Rohdaten!$A$2:$GG$19999,,MATCH(C289,Rohdaten!$1:$1,))&amp;""=D289&amp;"")*(INDEX(Rohdaten!$A$2:$GG$19999,,MATCH("end_date",Rohdaten!$1:$1,))&lt;&gt;""))</f>
        <v>#N/A</v>
      </c>
      <c r="G289" s="4" t="e">
        <f t="shared" si="8"/>
        <v>#N/A</v>
      </c>
      <c r="H289" s="49" t="str">
        <f>CONCATENATE("[Filter] Integration in Beschäftigung: n= ",K250+K251+K252+K253)</f>
        <v>[Filter] Integration in Beschäftigung: n= 0</v>
      </c>
    </row>
    <row r="290" spans="1:9" x14ac:dyDescent="0.25">
      <c r="A290" s="3"/>
      <c r="B290" s="3"/>
      <c r="C290" s="50" t="s">
        <v>327</v>
      </c>
      <c r="D290" s="3">
        <v>0</v>
      </c>
      <c r="E290" s="2" t="s">
        <v>185</v>
      </c>
      <c r="F290" s="4" t="e">
        <f>SUMPRODUCT((INDEX(Rohdaten!$A$2:$GG$19999,,MATCH(C290,Rohdaten!$1:$1,))&amp;""=D290&amp;"")*(INDEX(Rohdaten!$A$2:$GG$19999,,MATCH("end_date",Rohdaten!$1:$1,))&lt;&gt;""))</f>
        <v>#N/A</v>
      </c>
      <c r="G290" s="4" t="str">
        <f t="shared" si="8"/>
        <v/>
      </c>
    </row>
    <row r="291" spans="1:9" x14ac:dyDescent="0.25">
      <c r="A291" s="3"/>
      <c r="B291" s="3"/>
      <c r="C291" s="50" t="s">
        <v>327</v>
      </c>
      <c r="D291" s="3">
        <v>1</v>
      </c>
      <c r="E291" s="2" t="s">
        <v>186</v>
      </c>
      <c r="F291" s="4" t="e">
        <f>SUMPRODUCT((INDEX(Rohdaten!$A$2:$GG$19999,,MATCH(C291,Rohdaten!$1:$1,))&amp;""=D291&amp;"")*(INDEX(Rohdaten!$A$2:$GG$19999,,MATCH("end_date",Rohdaten!$1:$1,))&lt;&gt;""))</f>
        <v>#N/A</v>
      </c>
      <c r="G291" s="4" t="str">
        <f t="shared" si="8"/>
        <v/>
      </c>
    </row>
    <row r="292" spans="1:9" x14ac:dyDescent="0.25">
      <c r="A292" s="55" t="s">
        <v>299</v>
      </c>
      <c r="B292" s="37" t="s">
        <v>300</v>
      </c>
      <c r="C292" s="56" t="s">
        <v>328</v>
      </c>
      <c r="D292" s="57"/>
      <c r="E292" s="37" t="s">
        <v>45</v>
      </c>
      <c r="F292" s="4" t="e">
        <f>SUMPRODUCT((INDEX(Rohdaten!$A$2:$GG$19999,,MATCH(C292,Rohdaten!$1:$1,))&amp;""=D292&amp;"")*(INDEX(Rohdaten!$A$2:$GG$19999,,MATCH("end_date",Rohdaten!$1:$1,))&lt;&gt;""))</f>
        <v>#N/A</v>
      </c>
      <c r="G292" s="4" t="e">
        <f t="shared" si="8"/>
        <v>#N/A</v>
      </c>
    </row>
    <row r="293" spans="1:9" x14ac:dyDescent="0.25">
      <c r="A293" s="3"/>
      <c r="B293" s="3"/>
      <c r="C293" s="50" t="s">
        <v>328</v>
      </c>
      <c r="D293" s="3">
        <v>0</v>
      </c>
      <c r="E293" s="2" t="s">
        <v>185</v>
      </c>
      <c r="F293" s="4" t="e">
        <f>SUMPRODUCT((INDEX(Rohdaten!$A$2:$GG$19999,,MATCH(C293,Rohdaten!$1:$1,))&amp;""=D293&amp;"")*(INDEX(Rohdaten!$A$2:$GG$19999,,MATCH("end_date",Rohdaten!$1:$1,))&lt;&gt;""))</f>
        <v>#N/A</v>
      </c>
      <c r="G293" s="4" t="str">
        <f t="shared" si="8"/>
        <v/>
      </c>
    </row>
    <row r="294" spans="1:9" x14ac:dyDescent="0.25">
      <c r="A294" s="3"/>
      <c r="B294" s="3"/>
      <c r="C294" s="50" t="s">
        <v>328</v>
      </c>
      <c r="D294" s="3">
        <v>1</v>
      </c>
      <c r="E294" s="2" t="s">
        <v>186</v>
      </c>
      <c r="F294" s="4" t="e">
        <f>SUMPRODUCT((INDEX(Rohdaten!$A$2:$GG$19999,,MATCH(C294,Rohdaten!$1:$1,))&amp;""=D294&amp;"")*(INDEX(Rohdaten!$A$2:$GG$19999,,MATCH("end_date",Rohdaten!$1:$1,))&lt;&gt;""))</f>
        <v>#N/A</v>
      </c>
      <c r="G294" s="4" t="str">
        <f t="shared" si="8"/>
        <v/>
      </c>
    </row>
    <row r="295" spans="1:9" x14ac:dyDescent="0.25">
      <c r="A295" s="55" t="s">
        <v>299</v>
      </c>
      <c r="B295" s="37" t="s">
        <v>301</v>
      </c>
      <c r="C295" s="56" t="s">
        <v>329</v>
      </c>
      <c r="D295" s="57"/>
      <c r="E295" s="37" t="s">
        <v>45</v>
      </c>
      <c r="F295" s="4" t="e">
        <f>SUMPRODUCT((INDEX(Rohdaten!$A$2:$GG$19999,,MATCH(C295,Rohdaten!$1:$1,))&amp;""=D295&amp;"")*(INDEX(Rohdaten!$A$2:$GG$19999,,MATCH("end_date",Rohdaten!$1:$1,))&lt;&gt;""))</f>
        <v>#N/A</v>
      </c>
      <c r="G295" s="4" t="e">
        <f>IF(MATCH(C295,$C:$C,0)=ROW(C295),SUM(F295:F300),"")</f>
        <v>#N/A</v>
      </c>
      <c r="H295" s="49" t="str">
        <f>CONCATENATE("[Filter] Nachbetreuung fand statt: n= ",K294)</f>
        <v xml:space="preserve">[Filter] Nachbetreuung fand statt: n= </v>
      </c>
    </row>
    <row r="296" spans="1:9" x14ac:dyDescent="0.25">
      <c r="A296" s="3"/>
      <c r="B296" s="3"/>
      <c r="C296" s="50" t="s">
        <v>329</v>
      </c>
      <c r="D296" s="3">
        <v>0</v>
      </c>
      <c r="E296" s="2" t="s">
        <v>302</v>
      </c>
      <c r="F296" s="4" t="e">
        <f>SUMPRODUCT((INDEX(Rohdaten!$A$2:$GG$19999,,MATCH(C296,Rohdaten!$1:$1,))&amp;""=D296&amp;"")*(INDEX(Rohdaten!$A$2:$GG$19999,,MATCH("end_date",Rohdaten!$1:$1,))&lt;&gt;""))</f>
        <v>#N/A</v>
      </c>
      <c r="G296" s="4" t="str">
        <f t="shared" ref="G296:G303" si="9">IF(MATCH(C296,$C:$C,0)=ROW(C296),SUM(F296:F298),"")</f>
        <v/>
      </c>
    </row>
    <row r="297" spans="1:9" x14ac:dyDescent="0.25">
      <c r="A297" s="3"/>
      <c r="B297" s="3"/>
      <c r="C297" s="50" t="s">
        <v>329</v>
      </c>
      <c r="D297" s="3">
        <v>3</v>
      </c>
      <c r="E297" s="2" t="s">
        <v>303</v>
      </c>
      <c r="F297" s="4" t="e">
        <f>SUMPRODUCT((INDEX(Rohdaten!$A$2:$GG$19999,,MATCH(C297,Rohdaten!$1:$1,))&amp;""=D297&amp;"")*(INDEX(Rohdaten!$A$2:$GG$19999,,MATCH("end_date",Rohdaten!$1:$1,))&lt;&gt;""))</f>
        <v>#N/A</v>
      </c>
      <c r="G297" s="4" t="str">
        <f t="shared" si="9"/>
        <v/>
      </c>
    </row>
    <row r="298" spans="1:9" x14ac:dyDescent="0.25">
      <c r="A298" s="3"/>
      <c r="B298" s="3"/>
      <c r="C298" s="50" t="s">
        <v>329</v>
      </c>
      <c r="D298" s="3">
        <v>5</v>
      </c>
      <c r="E298" s="2" t="s">
        <v>304</v>
      </c>
      <c r="F298" s="4" t="e">
        <f>SUMPRODUCT((INDEX(Rohdaten!$A$2:$GG$19999,,MATCH(C298,Rohdaten!$1:$1,))&amp;""=D298&amp;"")*(INDEX(Rohdaten!$A$2:$GG$19999,,MATCH("end_date",Rohdaten!$1:$1,))&lt;&gt;""))</f>
        <v>#N/A</v>
      </c>
      <c r="G298" s="4" t="str">
        <f t="shared" si="9"/>
        <v/>
      </c>
    </row>
    <row r="299" spans="1:9" x14ac:dyDescent="0.25">
      <c r="A299" s="3"/>
      <c r="B299" s="3"/>
      <c r="C299" s="50" t="s">
        <v>329</v>
      </c>
      <c r="D299" s="3">
        <v>6</v>
      </c>
      <c r="E299" s="2" t="s">
        <v>46</v>
      </c>
      <c r="F299" s="4" t="e">
        <f>SUMPRODUCT((INDEX(Rohdaten!$A$2:$GG$19999,,MATCH(C299,Rohdaten!$1:$1,))&amp;""=D299&amp;"")*(INDEX(Rohdaten!$A$2:$GG$19999,,MATCH("end_date",Rohdaten!$1:$1,))&lt;&gt;""))</f>
        <v>#N/A</v>
      </c>
      <c r="G299" s="4" t="str">
        <f t="shared" si="9"/>
        <v/>
      </c>
    </row>
    <row r="300" spans="1:9" x14ac:dyDescent="0.25">
      <c r="A300" s="3"/>
      <c r="B300" s="3"/>
      <c r="C300" s="50" t="s">
        <v>329</v>
      </c>
      <c r="D300" s="3">
        <v>7</v>
      </c>
      <c r="E300" s="2" t="s">
        <v>251</v>
      </c>
      <c r="F300" s="4" t="e">
        <f>SUMPRODUCT((INDEX(Rohdaten!$A$2:$GG$19999,,MATCH(C300,Rohdaten!$1:$1,))&amp;""=D300&amp;"")*(INDEX(Rohdaten!$A$2:$GG$19999,,MATCH("end_date",Rohdaten!$1:$1,))&lt;&gt;""))</f>
        <v>#N/A</v>
      </c>
      <c r="G300" s="4" t="str">
        <f t="shared" si="9"/>
        <v/>
      </c>
    </row>
    <row r="301" spans="1:9" x14ac:dyDescent="0.25">
      <c r="A301" s="55" t="s">
        <v>305</v>
      </c>
      <c r="B301" s="37" t="s">
        <v>219</v>
      </c>
      <c r="C301" s="56" t="s">
        <v>330</v>
      </c>
      <c r="D301" s="57"/>
      <c r="E301" s="37" t="s">
        <v>45</v>
      </c>
      <c r="F301" s="4" t="e">
        <f>SUMPRODUCT((INDEX(Rohdaten!$A$2:$GG$19999,,MATCH(C301,Rohdaten!$1:$1,))&amp;""=D301&amp;"")*(INDEX(Rohdaten!$A$2:$GG$19999,,MATCH("end_date",Rohdaten!$1:$1,))&lt;&gt;""))</f>
        <v>#N/A</v>
      </c>
      <c r="G301" s="4" t="e">
        <f t="shared" si="9"/>
        <v>#N/A</v>
      </c>
    </row>
    <row r="302" spans="1:9" x14ac:dyDescent="0.25">
      <c r="A302" s="3"/>
      <c r="B302" s="3"/>
      <c r="C302" s="50" t="s">
        <v>330</v>
      </c>
      <c r="D302" s="3">
        <v>0</v>
      </c>
      <c r="E302" s="2" t="s">
        <v>185</v>
      </c>
      <c r="F302" s="4" t="e">
        <f>SUMPRODUCT((INDEX(Rohdaten!$A$2:$GG$19999,,MATCH(C302,Rohdaten!$1:$1,))&amp;""=D302&amp;"")*(INDEX(Rohdaten!$A$2:$GG$19999,,MATCH("end_date",Rohdaten!$1:$1,))&lt;&gt;""))</f>
        <v>#N/A</v>
      </c>
      <c r="G302" s="4" t="str">
        <f t="shared" si="9"/>
        <v/>
      </c>
      <c r="H302" s="4" t="e">
        <f>SUMPRODUCT((INDEX(Rohdaten!$A$2:$GG$19999,,MATCH(C302,Rohdaten!$1:$1,))&amp;""=D302&amp;"")*(INDEX(Rohdaten!$A$2:$GG$19999,,MATCH("end_date",Rohdaten!$1:$1,))&lt;"2019"))</f>
        <v>#N/A</v>
      </c>
    </row>
    <row r="303" spans="1:9" x14ac:dyDescent="0.25">
      <c r="A303" s="3"/>
      <c r="B303" s="3"/>
      <c r="C303" s="50" t="s">
        <v>330</v>
      </c>
      <c r="D303" s="3">
        <v>1</v>
      </c>
      <c r="E303" s="2" t="s">
        <v>186</v>
      </c>
      <c r="F303" s="4" t="e">
        <f>SUMPRODUCT((INDEX(Rohdaten!$A$2:$GG$19999,,MATCH(C303,Rohdaten!$1:$1,))&amp;""=D303&amp;"")*(INDEX(Rohdaten!$A$2:$GG$19999,,MATCH("end_date",Rohdaten!$1:$1,))&lt;&gt;""))</f>
        <v>#N/A</v>
      </c>
      <c r="G303" s="4" t="str">
        <f t="shared" si="9"/>
        <v/>
      </c>
    </row>
    <row r="304" spans="1:9" x14ac:dyDescent="0.25">
      <c r="A304" s="95" t="s">
        <v>305</v>
      </c>
      <c r="B304" s="96" t="s">
        <v>220</v>
      </c>
      <c r="C304" s="97" t="s">
        <v>331</v>
      </c>
      <c r="D304" s="98"/>
      <c r="E304" s="96" t="s">
        <v>45</v>
      </c>
      <c r="F304" s="94" t="e">
        <f>SUMPRODUCT((INDEX(Rohdaten!$A$2:$GG$19999,,MATCH(C304,Rohdaten!$1:$1,))&amp;""=D304&amp;"")*(INDEX(Rohdaten!$A$2:$GG$19999,,MATCH($C$302,Rohdaten!$1:$1,))&amp;""=$D$302&amp;""))</f>
        <v>#N/A</v>
      </c>
      <c r="G304" s="94" t="e">
        <f>IF(MATCH(C304,$C:$C,0)=ROW(C304),SUM(F304:F307),"")</f>
        <v>#N/A</v>
      </c>
      <c r="H304" s="93" t="e">
        <f>CONCATENATE("[Filter]: HDL nicht beansprucht (n=",H302,")")</f>
        <v>#N/A</v>
      </c>
      <c r="I304" t="s">
        <v>384</v>
      </c>
    </row>
    <row r="305" spans="1:9" x14ac:dyDescent="0.25">
      <c r="A305" s="3"/>
      <c r="B305" s="3"/>
      <c r="C305" s="50" t="s">
        <v>331</v>
      </c>
      <c r="D305" s="3">
        <v>0</v>
      </c>
      <c r="E305" s="2" t="s">
        <v>185</v>
      </c>
      <c r="F305" s="4" t="e">
        <f>SUMPRODUCT((INDEX(Rohdaten!$A$2:$GG$19999,,MATCH(C305,Rohdaten!$1:$1,))&amp;""=D305&amp;"")*(INDEX(Rohdaten!$A$2:$GG$19999,,MATCH($C$302,Rohdaten!$1:$1,))&amp;""=$D$302&amp;""))</f>
        <v>#N/A</v>
      </c>
      <c r="G305" s="4" t="str">
        <f>IF(MATCH(C305,$C:$C,0)=ROW(C305),SUM(F305:F307),"")</f>
        <v/>
      </c>
    </row>
    <row r="306" spans="1:9" x14ac:dyDescent="0.25">
      <c r="A306" s="3"/>
      <c r="B306" s="3"/>
      <c r="C306" s="50" t="s">
        <v>331</v>
      </c>
      <c r="D306" s="3">
        <v>1</v>
      </c>
      <c r="E306" s="2" t="s">
        <v>186</v>
      </c>
      <c r="F306" s="4" t="e">
        <f>SUMPRODUCT((INDEX(Rohdaten!$A$2:$GG$19999,,MATCH(C306,Rohdaten!$1:$1,))&amp;""=D306&amp;"")*(INDEX(Rohdaten!$A$2:$GG$19999,,MATCH($C$302,Rohdaten!$1:$1,))&amp;""=$D$302&amp;""))</f>
        <v>#N/A</v>
      </c>
      <c r="G306" s="4" t="str">
        <f>IF(MATCH(C306,$C:$C,0)=ROW(C306),SUM(F306:F308),"")</f>
        <v/>
      </c>
    </row>
    <row r="307" spans="1:9" x14ac:dyDescent="0.25">
      <c r="A307" s="3"/>
      <c r="B307" s="3"/>
      <c r="C307" s="50" t="s">
        <v>331</v>
      </c>
      <c r="D307" s="3">
        <v>2</v>
      </c>
      <c r="E307" s="2" t="s">
        <v>221</v>
      </c>
      <c r="F307" s="4" t="e">
        <f>SUMPRODUCT((INDEX(Rohdaten!$A$2:$GG$19999,,MATCH(C307,Rohdaten!$1:$1,))&amp;""=D307&amp;"")*(INDEX(Rohdaten!$A$2:$GG$19999,,MATCH($C$302,Rohdaten!$1:$1,))&amp;""=$D$302&amp;""))</f>
        <v>#N/A</v>
      </c>
      <c r="G307" s="4" t="str">
        <f>IF(MATCH(C307,$C:$C,0)=ROW(C307),SUM(F307:F309),"")</f>
        <v/>
      </c>
    </row>
    <row r="308" spans="1:9" x14ac:dyDescent="0.25">
      <c r="A308" s="55" t="s">
        <v>305</v>
      </c>
      <c r="B308" s="37" t="s">
        <v>222</v>
      </c>
      <c r="C308" s="56" t="s">
        <v>225</v>
      </c>
      <c r="D308" s="57"/>
      <c r="E308" s="37" t="s">
        <v>45</v>
      </c>
      <c r="F308" s="4" t="e">
        <f>SUMPRODUCT((INDEX(Rohdaten!$A$2:$GG$19999,,MATCH(C308,Rohdaten!$1:$1,))&amp;""=D308&amp;"")*(INDEX(Rohdaten!$A$2:$GG$19999,,MATCH("end_date",Rohdaten!$1:$1,))&lt;&gt;""))</f>
        <v>#N/A</v>
      </c>
      <c r="G308" s="4" t="e">
        <f>IF(MATCH(C308,$C:$C,0)=ROW(C308),SUM(F308:F311),"")</f>
        <v>#N/A</v>
      </c>
    </row>
    <row r="309" spans="1:9" x14ac:dyDescent="0.25">
      <c r="A309" s="3"/>
      <c r="B309" s="3"/>
      <c r="C309" s="50" t="s">
        <v>225</v>
      </c>
      <c r="D309" s="3">
        <v>0</v>
      </c>
      <c r="E309" s="2" t="s">
        <v>185</v>
      </c>
      <c r="F309" s="4" t="e">
        <f>SUMPRODUCT((INDEX(Rohdaten!$A$2:$GG$19999,,MATCH(C309,Rohdaten!$1:$1,))&amp;""=D309&amp;"")*(INDEX(Rohdaten!$A$2:$GG$19999,,MATCH("end_date",Rohdaten!$1:$1,))&lt;&gt;""))</f>
        <v>#N/A</v>
      </c>
      <c r="G309" s="4" t="str">
        <f>IF(MATCH(C309,$C:$C,0)=ROW(C309),SUM(F309:F311),"")</f>
        <v/>
      </c>
      <c r="H309" s="4" t="e">
        <f>SUMPRODUCT((INDEX(Rohdaten!$A$2:$GG$19999,,MATCH(C309,Rohdaten!$1:$1,))&amp;""=D309&amp;"")*(INDEX(Rohdaten!$A$2:$GG$19999,,MATCH("end_date",Rohdaten!$1:$1,))&lt;"2019"))</f>
        <v>#N/A</v>
      </c>
    </row>
    <row r="310" spans="1:9" x14ac:dyDescent="0.25">
      <c r="A310" s="3"/>
      <c r="B310" s="3"/>
      <c r="C310" s="50" t="s">
        <v>225</v>
      </c>
      <c r="D310" s="3">
        <v>1</v>
      </c>
      <c r="E310" s="2" t="s">
        <v>186</v>
      </c>
      <c r="F310" s="4" t="e">
        <f>SUMPRODUCT((INDEX(Rohdaten!$A$2:$GG$19999,,MATCH(C310,Rohdaten!$1:$1,))&amp;""=D310&amp;"")*(INDEX(Rohdaten!$A$2:$GG$19999,,MATCH("end_date",Rohdaten!$1:$1,))&lt;&gt;""))</f>
        <v>#N/A</v>
      </c>
      <c r="G310" s="4" t="str">
        <f>IF(MATCH(C310,$C:$C,0)=ROW(C310),SUM(F310:F312),"")</f>
        <v/>
      </c>
    </row>
    <row r="311" spans="1:9" x14ac:dyDescent="0.25">
      <c r="A311" s="3"/>
      <c r="B311" s="3"/>
      <c r="C311" s="50" t="s">
        <v>225</v>
      </c>
      <c r="D311" s="3">
        <v>2</v>
      </c>
      <c r="E311" s="2" t="s">
        <v>223</v>
      </c>
      <c r="F311" s="4" t="e">
        <f>SUMPRODUCT((INDEX(Rohdaten!$A$2:$GG$19999,,MATCH(C311,Rohdaten!$1:$1,))&amp;""=D311&amp;"")*(INDEX(Rohdaten!$A$2:$GG$19999,,MATCH("end_date",Rohdaten!$1:$1,))&lt;&gt;""))</f>
        <v>#N/A</v>
      </c>
      <c r="G311" s="4" t="str">
        <f>IF(MATCH(C311,$C:$C,0)=ROW(C311),SUM(F311:F313),"")</f>
        <v/>
      </c>
    </row>
    <row r="312" spans="1:9" x14ac:dyDescent="0.25">
      <c r="A312" s="95" t="s">
        <v>305</v>
      </c>
      <c r="B312" s="96" t="s">
        <v>224</v>
      </c>
      <c r="C312" s="97" t="s">
        <v>332</v>
      </c>
      <c r="D312" s="98"/>
      <c r="E312" s="96" t="s">
        <v>45</v>
      </c>
      <c r="F312" s="94" t="e">
        <f>SUMPRODUCT((INDEX(Rohdaten!$A$2:$GG$19999,,MATCH(C312,Rohdaten!$1:$1,))&amp;""=D312&amp;"")*(INDEX(Rohdaten!$A$2:$GG$19999,,MATCH("end_date",Rohdaten!$1:$1,))&lt;&gt;""))</f>
        <v>#N/A</v>
      </c>
      <c r="G312" s="94" t="e">
        <f>IF(MATCH(C312,$C:$C,0)=ROW(C312),SUM(F312:F315),"")</f>
        <v>#N/A</v>
      </c>
      <c r="H312" s="93" t="e">
        <f>CONCATENATE("[Filter]: Partnerin nicht eingbunden und Austritt in der 1 FP (n=",H309,")")</f>
        <v>#N/A</v>
      </c>
      <c r="I312" t="s">
        <v>384</v>
      </c>
    </row>
    <row r="313" spans="1:9" x14ac:dyDescent="0.25">
      <c r="A313" s="3"/>
      <c r="B313" s="3"/>
      <c r="C313" s="50" t="s">
        <v>332</v>
      </c>
      <c r="D313" s="3">
        <v>0</v>
      </c>
      <c r="E313" s="2" t="s">
        <v>185</v>
      </c>
      <c r="F313" s="4" t="e">
        <f>SUMPRODUCT((INDEX(Rohdaten!$A$2:$GG$19999,,MATCH(C313,Rohdaten!$1:$1,))&amp;""=D313&amp;"")*(INDEX(Rohdaten!$A$2:$GG$19999,,MATCH("end_date",Rohdaten!$1:$1,))&lt;&gt;""))</f>
        <v>#N/A</v>
      </c>
      <c r="G313" s="4" t="str">
        <f>IF(MATCH(C313,$C:$C,0)=ROW(C313),SUM(F313:F316),"")</f>
        <v/>
      </c>
    </row>
    <row r="314" spans="1:9" x14ac:dyDescent="0.25">
      <c r="A314" s="3"/>
      <c r="B314" s="3"/>
      <c r="C314" s="50" t="s">
        <v>332</v>
      </c>
      <c r="D314" s="3">
        <v>1</v>
      </c>
      <c r="E314" s="2" t="s">
        <v>186</v>
      </c>
      <c r="F314" s="4" t="e">
        <f>SUMPRODUCT((INDEX(Rohdaten!$A$2:$GG$19999,,MATCH(C314,Rohdaten!$1:$1,))&amp;""=D314&amp;"")*(INDEX(Rohdaten!$A$2:$GG$19999,,MATCH("end_date",Rohdaten!$1:$1,))&lt;&gt;""))</f>
        <v>#N/A</v>
      </c>
      <c r="G314" s="4" t="str">
        <f>IF(MATCH(C314,$C:$C,0)=ROW(C314),SUM(F314:F317),"")</f>
        <v/>
      </c>
    </row>
    <row r="315" spans="1:9" x14ac:dyDescent="0.25">
      <c r="A315" s="3"/>
      <c r="B315" s="3"/>
      <c r="C315" s="50" t="s">
        <v>332</v>
      </c>
      <c r="D315" s="3">
        <v>2</v>
      </c>
      <c r="E315" s="2" t="s">
        <v>221</v>
      </c>
      <c r="F315" s="4" t="e">
        <f>SUMPRODUCT((INDEX(Rohdaten!$A$2:$GG$19999,,MATCH(C315,Rohdaten!$1:$1,))&amp;""=D315&amp;"")*(INDEX(Rohdaten!$A$2:$GG$19999,,MATCH("end_date",Rohdaten!$1:$1,))&lt;&gt;""))</f>
        <v>#N/A</v>
      </c>
      <c r="G315" s="4" t="str">
        <f>IF(MATCH(C315,$C:$C,0)=ROW(C315),SUM(F315:F317),"")</f>
        <v/>
      </c>
    </row>
    <row r="316" spans="1:9" x14ac:dyDescent="0.25">
      <c r="A316" s="86"/>
      <c r="B316" s="87" t="s">
        <v>356</v>
      </c>
      <c r="C316" s="87"/>
      <c r="D316" s="87"/>
      <c r="E316" s="88" t="s">
        <v>386</v>
      </c>
      <c r="F316" s="87" t="e">
        <f>COUNTIF(INDEX(Rohdaten!$A$2:$GG$19999,,MATCH("year_of_exit",Rohdaten!$1:$1,)),"&gt;=2019")</f>
        <v>#N/A</v>
      </c>
      <c r="G316" s="87"/>
      <c r="H316" s="87"/>
    </row>
    <row r="317" spans="1:9" x14ac:dyDescent="0.25">
      <c r="A317" s="84" t="s">
        <v>385</v>
      </c>
      <c r="B317" s="84" t="e">
        <f>CONCATENATE("Vermittlung in folgendes Berufsfeld (n=",SUM(F318:F335),")")</f>
        <v>#N/A</v>
      </c>
      <c r="C317" s="84" t="s">
        <v>351</v>
      </c>
      <c r="D317" s="84"/>
      <c r="E317" s="84" t="s">
        <v>45</v>
      </c>
      <c r="F317" s="84" t="e">
        <f>SUMPRODUCT((INDEX(Rohdaten!$A$2:$GG$19999,,MATCH(C317,Rohdaten!$1:$1,))&amp;""=D317&amp;"")*(INDEX(Rohdaten!$A$2:$GG$19999,,MATCH("end_date",Rohdaten!$1:$1,))&lt;&gt;""))</f>
        <v>#N/A</v>
      </c>
      <c r="G317" s="84" t="e">
        <f>IF(MATCH(C317,$C:$C,0)=ROW(C317),SUM(F317:F335),"")</f>
        <v>#N/A</v>
      </c>
      <c r="H317" s="84" t="e">
        <f>CONCATENATE("[Filter]: Austritt in der 2 Förderphase (n=",$F$316,")")</f>
        <v>#N/A</v>
      </c>
      <c r="I317" t="s">
        <v>379</v>
      </c>
    </row>
    <row r="318" spans="1:9" x14ac:dyDescent="0.25">
      <c r="A318" s="2"/>
      <c r="C318" t="s">
        <v>351</v>
      </c>
      <c r="D318" s="73">
        <v>1</v>
      </c>
      <c r="E318" t="s">
        <v>361</v>
      </c>
      <c r="F318" s="4" t="e">
        <f>SUMPRODUCT((INDEX(Rohdaten!$A$2:$GG$19999,,MATCH(C318,Rohdaten!$1:$1,))&amp;""=D318&amp;"")*(INDEX(Rohdaten!$A$2:$GG$19999,,MATCH("end_date",Rohdaten!$1:$1,))&lt;&gt;""))</f>
        <v>#N/A</v>
      </c>
      <c r="G318" s="89">
        <f>IFERROR(F318/SUM($F$318:$F$335),0)</f>
        <v>0</v>
      </c>
    </row>
    <row r="319" spans="1:9" x14ac:dyDescent="0.25">
      <c r="A319" s="59"/>
      <c r="C319" t="s">
        <v>351</v>
      </c>
      <c r="D319" s="73">
        <v>2</v>
      </c>
      <c r="E319" t="s">
        <v>368</v>
      </c>
      <c r="F319" s="4" t="e">
        <f>SUMPRODUCT((INDEX(Rohdaten!$A$2:$GG$19999,,MATCH(C319,Rohdaten!$1:$1,))&amp;""=D319&amp;"")*(INDEX(Rohdaten!$A$2:$GG$19999,,MATCH("end_date",Rohdaten!$1:$1,))&lt;&gt;""))</f>
        <v>#N/A</v>
      </c>
      <c r="G319" s="89">
        <f t="shared" ref="G319:G335" si="10">IFERROR(F319/SUM($F$318:$F$335),0)</f>
        <v>0</v>
      </c>
    </row>
    <row r="320" spans="1:9" x14ac:dyDescent="0.25">
      <c r="A320" s="59"/>
      <c r="C320" t="s">
        <v>351</v>
      </c>
      <c r="D320" s="73">
        <v>3</v>
      </c>
      <c r="E320" t="s">
        <v>374</v>
      </c>
      <c r="F320" s="4" t="e">
        <f>SUMPRODUCT((INDEX(Rohdaten!$A$2:$GG$19999,,MATCH(C320,Rohdaten!$1:$1,))&amp;""=D320&amp;"")*(INDEX(Rohdaten!$A$2:$GG$19999,,MATCH("end_date",Rohdaten!$1:$1,))&lt;&gt;""))</f>
        <v>#N/A</v>
      </c>
      <c r="G320" s="89">
        <f t="shared" si="10"/>
        <v>0</v>
      </c>
    </row>
    <row r="321" spans="1:9" x14ac:dyDescent="0.25">
      <c r="A321" s="59"/>
      <c r="C321" t="s">
        <v>351</v>
      </c>
      <c r="D321" s="73">
        <v>7</v>
      </c>
      <c r="E321" t="s">
        <v>375</v>
      </c>
      <c r="F321" s="4" t="e">
        <f>SUMPRODUCT((INDEX(Rohdaten!$A$2:$GG$19999,,MATCH(C321,Rohdaten!$1:$1,))&amp;""=D321&amp;"")*(Rohdaten!$A$2:$A$19999&lt;&gt;""))</f>
        <v>#N/A</v>
      </c>
      <c r="G321" s="89">
        <f t="shared" si="10"/>
        <v>0</v>
      </c>
    </row>
    <row r="322" spans="1:9" x14ac:dyDescent="0.25">
      <c r="A322" s="59"/>
      <c r="C322" t="s">
        <v>351</v>
      </c>
      <c r="D322" s="73">
        <v>8</v>
      </c>
      <c r="E322" t="s">
        <v>376</v>
      </c>
      <c r="F322" s="4" t="e">
        <f>SUMPRODUCT((INDEX(Rohdaten!$A$2:$GG$19999,,MATCH(C322,Rohdaten!$1:$1,))&amp;""=D322&amp;"")*(Rohdaten!$A$2:$A$19999&lt;&gt;""))</f>
        <v>#N/A</v>
      </c>
      <c r="G322" s="89">
        <f t="shared" si="10"/>
        <v>0</v>
      </c>
    </row>
    <row r="323" spans="1:9" x14ac:dyDescent="0.25">
      <c r="A323" s="59"/>
      <c r="C323" t="s">
        <v>351</v>
      </c>
      <c r="D323" s="73">
        <v>9</v>
      </c>
      <c r="E323" t="s">
        <v>377</v>
      </c>
      <c r="F323" s="4" t="e">
        <f>SUMPRODUCT((INDEX(Rohdaten!$A$2:$GG$19999,,MATCH(C323,Rohdaten!$1:$1,))&amp;""=D323&amp;"")*(Rohdaten!$A$2:$A$19999&lt;&gt;""))</f>
        <v>#N/A</v>
      </c>
      <c r="G323" s="89">
        <f t="shared" si="10"/>
        <v>0</v>
      </c>
    </row>
    <row r="324" spans="1:9" x14ac:dyDescent="0.25">
      <c r="A324" s="59"/>
      <c r="C324" t="s">
        <v>351</v>
      </c>
      <c r="D324" s="73">
        <v>10</v>
      </c>
      <c r="E324" s="24" t="s">
        <v>362</v>
      </c>
      <c r="F324" s="4" t="e">
        <f>SUMPRODUCT((INDEX(Rohdaten!$A$2:$GG$19999,,MATCH(C324,Rohdaten!$1:$1,))&amp;""=D324&amp;"")*(Rohdaten!$A$2:$A$19999&lt;&gt;""))</f>
        <v>#N/A</v>
      </c>
      <c r="G324" s="89">
        <f t="shared" si="10"/>
        <v>0</v>
      </c>
      <c r="H324" s="24"/>
    </row>
    <row r="325" spans="1:9" x14ac:dyDescent="0.25">
      <c r="A325" s="59"/>
      <c r="C325" t="s">
        <v>351</v>
      </c>
      <c r="D325" s="73">
        <v>15</v>
      </c>
      <c r="E325" s="24" t="s">
        <v>363</v>
      </c>
      <c r="F325" s="4" t="e">
        <f>SUMPRODUCT((INDEX(Rohdaten!$A$2:$GG$19999,,MATCH(C325,Rohdaten!$1:$1,))&amp;""=D325&amp;"")*(Rohdaten!$A$2:$A$19999&lt;&gt;""))</f>
        <v>#N/A</v>
      </c>
      <c r="G325" s="89">
        <f t="shared" si="10"/>
        <v>0</v>
      </c>
      <c r="H325" s="24"/>
    </row>
    <row r="326" spans="1:9" x14ac:dyDescent="0.25">
      <c r="A326" s="59"/>
      <c r="C326" t="s">
        <v>351</v>
      </c>
      <c r="D326" s="73">
        <v>16</v>
      </c>
      <c r="E326" s="24" t="s">
        <v>364</v>
      </c>
      <c r="F326" s="4" t="e">
        <f>SUMPRODUCT((INDEX(Rohdaten!$A$2:$GG$19999,,MATCH(C326,Rohdaten!$1:$1,))&amp;""=D326&amp;"")*(Rohdaten!$A$2:$A$19999&lt;&gt;""))</f>
        <v>#N/A</v>
      </c>
      <c r="G326" s="89">
        <f t="shared" si="10"/>
        <v>0</v>
      </c>
      <c r="H326" s="24"/>
    </row>
    <row r="327" spans="1:9" x14ac:dyDescent="0.25">
      <c r="A327" s="59"/>
      <c r="C327" t="s">
        <v>351</v>
      </c>
      <c r="D327" s="73">
        <v>17</v>
      </c>
      <c r="E327" s="24" t="s">
        <v>365</v>
      </c>
      <c r="F327" s="4" t="e">
        <f>SUMPRODUCT((INDEX(Rohdaten!$A$2:$GG$19999,,MATCH(C327,Rohdaten!$1:$1,))&amp;""=D327&amp;"")*(Rohdaten!$A$2:$A$19999&lt;&gt;""))</f>
        <v>#N/A</v>
      </c>
      <c r="G327" s="89">
        <f t="shared" si="10"/>
        <v>0</v>
      </c>
      <c r="H327" s="24"/>
    </row>
    <row r="328" spans="1:9" x14ac:dyDescent="0.25">
      <c r="A328" s="59"/>
      <c r="C328" t="s">
        <v>351</v>
      </c>
      <c r="D328" s="73">
        <v>18</v>
      </c>
      <c r="E328" s="24" t="s">
        <v>366</v>
      </c>
      <c r="F328" s="4" t="e">
        <f>SUMPRODUCT((INDEX(Rohdaten!$A$2:$GG$19999,,MATCH(C328,Rohdaten!$1:$1,))&amp;""=D328&amp;"")*(Rohdaten!$A$2:$A$19999&lt;&gt;""))</f>
        <v>#N/A</v>
      </c>
      <c r="G328" s="89">
        <f t="shared" si="10"/>
        <v>0</v>
      </c>
      <c r="H328" s="24"/>
    </row>
    <row r="329" spans="1:9" x14ac:dyDescent="0.25">
      <c r="A329" s="59"/>
      <c r="C329" t="s">
        <v>351</v>
      </c>
      <c r="D329" s="73">
        <v>19</v>
      </c>
      <c r="E329" s="24" t="s">
        <v>367</v>
      </c>
      <c r="F329" s="4" t="e">
        <f>SUMPRODUCT((INDEX(Rohdaten!$A$2:$GG$19999,,MATCH(C329,Rohdaten!$1:$1,))&amp;""=D329&amp;"")*(Rohdaten!$A$2:$A$19999&lt;&gt;""))</f>
        <v>#N/A</v>
      </c>
      <c r="G329" s="89">
        <f t="shared" si="10"/>
        <v>0</v>
      </c>
      <c r="H329" s="24"/>
    </row>
    <row r="330" spans="1:9" x14ac:dyDescent="0.25">
      <c r="A330" s="59"/>
      <c r="C330" t="s">
        <v>351</v>
      </c>
      <c r="D330" s="73">
        <v>22</v>
      </c>
      <c r="E330" s="24" t="s">
        <v>369</v>
      </c>
      <c r="F330" s="4" t="e">
        <f>SUMPRODUCT((INDEX(Rohdaten!$A$2:$GG$19999,,MATCH(C330,Rohdaten!$1:$1,))&amp;""=D330&amp;"")*(Rohdaten!$A$2:$A$19999&lt;&gt;""))</f>
        <v>#N/A</v>
      </c>
      <c r="G330" s="89">
        <f t="shared" si="10"/>
        <v>0</v>
      </c>
      <c r="H330" s="24"/>
    </row>
    <row r="331" spans="1:9" x14ac:dyDescent="0.25">
      <c r="A331" s="59"/>
      <c r="C331" t="s">
        <v>351</v>
      </c>
      <c r="D331" s="73">
        <v>23</v>
      </c>
      <c r="E331" s="24" t="s">
        <v>370</v>
      </c>
      <c r="F331" s="4" t="e">
        <f>SUMPRODUCT((INDEX(Rohdaten!$A$2:$GG$19999,,MATCH(C331,Rohdaten!$1:$1,))&amp;""=D331&amp;"")*(Rohdaten!$A$2:$A$19999&lt;&gt;""))</f>
        <v>#N/A</v>
      </c>
      <c r="G331" s="89">
        <f t="shared" si="10"/>
        <v>0</v>
      </c>
      <c r="H331" s="24"/>
    </row>
    <row r="332" spans="1:9" x14ac:dyDescent="0.25">
      <c r="A332" s="59"/>
      <c r="C332" t="s">
        <v>351</v>
      </c>
      <c r="D332" s="73">
        <v>24</v>
      </c>
      <c r="E332" s="24" t="s">
        <v>371</v>
      </c>
      <c r="F332" s="4" t="e">
        <f>SUMPRODUCT((INDEX(Rohdaten!$A$2:$GG$19999,,MATCH(C332,Rohdaten!$1:$1,))&amp;""=D332&amp;"")*(Rohdaten!$A$2:$A$19999&lt;&gt;""))</f>
        <v>#N/A</v>
      </c>
      <c r="G332" s="89">
        <f t="shared" si="10"/>
        <v>0</v>
      </c>
      <c r="H332" s="24"/>
    </row>
    <row r="333" spans="1:9" x14ac:dyDescent="0.25">
      <c r="A333" s="59"/>
      <c r="C333" t="s">
        <v>351</v>
      </c>
      <c r="D333" s="73">
        <v>25</v>
      </c>
      <c r="E333" s="24" t="s">
        <v>372</v>
      </c>
      <c r="F333" s="4" t="e">
        <f>SUMPRODUCT((INDEX(Rohdaten!$A$2:$GG$19999,,MATCH(C333,Rohdaten!$1:$1,))&amp;""=D333&amp;"")*(Rohdaten!$A$2:$A$19999&lt;&gt;""))</f>
        <v>#N/A</v>
      </c>
      <c r="G333" s="89">
        <f t="shared" si="10"/>
        <v>0</v>
      </c>
      <c r="H333" s="24"/>
    </row>
    <row r="334" spans="1:9" x14ac:dyDescent="0.25">
      <c r="A334" s="59"/>
      <c r="C334" t="s">
        <v>351</v>
      </c>
      <c r="D334" s="73">
        <v>26</v>
      </c>
      <c r="E334" s="24" t="s">
        <v>373</v>
      </c>
      <c r="F334" s="4" t="e">
        <f>SUMPRODUCT((INDEX(Rohdaten!$A$2:$GG$19999,,MATCH(C334,Rohdaten!$1:$1,))&amp;""=D334&amp;"")*(Rohdaten!$A$2:$A$19999&lt;&gt;""))</f>
        <v>#N/A</v>
      </c>
      <c r="G334" s="89">
        <f t="shared" si="10"/>
        <v>0</v>
      </c>
      <c r="H334" s="24"/>
    </row>
    <row r="335" spans="1:9" x14ac:dyDescent="0.25">
      <c r="A335" s="59"/>
      <c r="E335" s="74" t="s">
        <v>383</v>
      </c>
      <c r="F335" s="4" t="e">
        <f>$F$316-SUM(F318:F334)</f>
        <v>#N/A</v>
      </c>
      <c r="G335" s="89">
        <f t="shared" si="10"/>
        <v>0</v>
      </c>
    </row>
    <row r="336" spans="1:9" x14ac:dyDescent="0.25">
      <c r="A336" s="84"/>
      <c r="B336" s="84" t="s">
        <v>378</v>
      </c>
      <c r="C336" s="84" t="s">
        <v>352</v>
      </c>
      <c r="D336" s="84"/>
      <c r="E336" s="84" t="s">
        <v>45</v>
      </c>
      <c r="F336" s="84" t="e">
        <f>SUMPRODUCT((INDEX(Rohdaten!$A$2:$GG$19999,,MATCH(C336,Rohdaten!$1:$1,))&amp;""=D336&amp;"")*(INDEX(Rohdaten!$A$2:$GG$19999,,MATCH("end_date",Rohdaten!$1:$1,))&lt;&gt;""))</f>
        <v>#N/A</v>
      </c>
      <c r="G336" s="85" t="e">
        <f>IF(MATCH(C336,$C:$C,0)=ROW(C336),SUM(F336:F338),"")</f>
        <v>#N/A</v>
      </c>
      <c r="H336" s="84" t="e">
        <f>CONCATENATE("[Filter: Branche Bildung und Erziehung (n=",SUM(F337:F339),")")</f>
        <v>#N/A</v>
      </c>
      <c r="I336" t="s">
        <v>379</v>
      </c>
    </row>
    <row r="337" spans="1:9" x14ac:dyDescent="0.25">
      <c r="C337" t="s">
        <v>352</v>
      </c>
      <c r="D337" s="73">
        <v>0</v>
      </c>
      <c r="E337" s="24" t="s">
        <v>46</v>
      </c>
      <c r="F337" s="4" t="e">
        <f>SUMPRODUCT((INDEX(Rohdaten!$A$2:$GG$19999,,MATCH(C337,Rohdaten!$1:$1,))&amp;""=D337&amp;"")*(Rohdaten!$A$2:$A$19999&lt;&gt;""))</f>
        <v>#N/A</v>
      </c>
      <c r="G337" s="24"/>
    </row>
    <row r="338" spans="1:9" x14ac:dyDescent="0.25">
      <c r="C338" t="s">
        <v>352</v>
      </c>
      <c r="D338">
        <v>1</v>
      </c>
      <c r="E338" s="24" t="s">
        <v>47</v>
      </c>
      <c r="F338" s="4" t="e">
        <f>SUMPRODUCT((INDEX(Rohdaten!$A$2:$GG$19999,,MATCH(C338,Rohdaten!$1:$1,))&amp;""=D338&amp;"")*(Rohdaten!$A$2:$A$19999&lt;&gt;""))</f>
        <v>#N/A</v>
      </c>
      <c r="G338" s="24"/>
      <c r="H338" s="24"/>
    </row>
    <row r="339" spans="1:9" x14ac:dyDescent="0.25">
      <c r="E339" s="74" t="s">
        <v>380</v>
      </c>
      <c r="F339" s="4" t="e">
        <f>$F$326-SUM(F337:F338)</f>
        <v>#N/A</v>
      </c>
      <c r="G339" s="24"/>
      <c r="H339" s="24"/>
    </row>
    <row r="340" spans="1:9" x14ac:dyDescent="0.25">
      <c r="A340" s="84"/>
      <c r="B340" s="84" t="s">
        <v>381</v>
      </c>
      <c r="C340" s="84" t="s">
        <v>353</v>
      </c>
      <c r="D340" s="84"/>
      <c r="E340" s="84" t="s">
        <v>45</v>
      </c>
      <c r="F340" s="84" t="e">
        <f>SUMPRODUCT((INDEX(Rohdaten!$A$2:$GG$19999,,MATCH(C340,Rohdaten!$1:$1,))&amp;""=D340&amp;"")*(INDEX(Rohdaten!$A$2:$GG$19999,,MATCH("end_date",Rohdaten!$1:$1,))&lt;&gt;""))</f>
        <v>#N/A</v>
      </c>
      <c r="G340" s="85" t="e">
        <f>IF(MATCH(C340,$C:$C,0)=ROW(C340),SUM(F340:F342),"")</f>
        <v>#N/A</v>
      </c>
      <c r="H340" s="84" t="e">
        <f>CONCATENATE("[Filter: Branche  Gesundheit und Sozialwesen (n=",SUM(F341:F343),")")</f>
        <v>#N/A</v>
      </c>
      <c r="I340" t="s">
        <v>379</v>
      </c>
    </row>
    <row r="341" spans="1:9" x14ac:dyDescent="0.25">
      <c r="C341" t="s">
        <v>353</v>
      </c>
      <c r="D341" s="73">
        <v>0</v>
      </c>
      <c r="E341" s="24" t="s">
        <v>46</v>
      </c>
      <c r="F341" s="4" t="e">
        <f>SUMPRODUCT((INDEX(Rohdaten!$A$2:$GG$19999,,MATCH(C341,Rohdaten!$1:$1,))&amp;""=D341&amp;"")*(Rohdaten!$A$2:$A$19999&lt;&gt;""))</f>
        <v>#N/A</v>
      </c>
      <c r="G341" s="24"/>
    </row>
    <row r="342" spans="1:9" x14ac:dyDescent="0.25">
      <c r="C342" t="s">
        <v>353</v>
      </c>
      <c r="D342">
        <v>1</v>
      </c>
      <c r="E342" s="24" t="s">
        <v>47</v>
      </c>
      <c r="F342" s="4" t="e">
        <f>SUMPRODUCT((INDEX(Rohdaten!$A$2:$GG$19999,,MATCH(C342,Rohdaten!$1:$1,))&amp;""=D342&amp;"")*(Rohdaten!$A$2:$A$19999&lt;&gt;""))</f>
        <v>#N/A</v>
      </c>
      <c r="G342" s="24"/>
      <c r="H342" s="24"/>
    </row>
    <row r="343" spans="1:9" x14ac:dyDescent="0.25">
      <c r="E343" s="74" t="s">
        <v>382</v>
      </c>
      <c r="F343" s="4" t="e">
        <f>$F$327-SUM(F341:F342)</f>
        <v>#N/A</v>
      </c>
      <c r="G343" s="24"/>
      <c r="H343" s="24"/>
    </row>
    <row r="344" spans="1:9" x14ac:dyDescent="0.25">
      <c r="A344" s="84" t="s">
        <v>392</v>
      </c>
      <c r="B344" s="84" t="s">
        <v>391</v>
      </c>
      <c r="C344" s="84" t="s">
        <v>355</v>
      </c>
      <c r="D344" s="84"/>
      <c r="E344" s="84" t="s">
        <v>45</v>
      </c>
      <c r="F344" s="84" t="e">
        <f>SUMPRODUCT((INDEX(Rohdaten!$A$2:$GG$19999,,MATCH(C344,Rohdaten!$1:$1,))&amp;""=D344&amp;"")*(INDEX(Rohdaten!$A$2:$GG$19999,,MATCH("end_date",Rohdaten!$1:$1,))&lt;&gt;""))</f>
        <v>#N/A</v>
      </c>
      <c r="G344" s="85" t="e">
        <f>IF(MATCH(C344,$C:$C,0)=ROW(C344),SUM(F344:F347),"")</f>
        <v>#N/A</v>
      </c>
      <c r="H344" s="84" t="e">
        <f>CONCATENATE("[Filter: vorzeitiger Austritt in 2 FP (n=",SUM(F345:F348),")")</f>
        <v>#N/A</v>
      </c>
      <c r="I344" t="s">
        <v>379</v>
      </c>
    </row>
    <row r="345" spans="1:9" x14ac:dyDescent="0.25">
      <c r="C345" s="50" t="s">
        <v>355</v>
      </c>
      <c r="D345">
        <v>1</v>
      </c>
      <c r="E345" s="50" t="s">
        <v>388</v>
      </c>
      <c r="F345" s="4" t="e">
        <f>SUMPRODUCT((INDEX(Rohdaten!$A$2:$GG$19999,,MATCH(C345,Rohdaten!$1:$1,))&amp;""=D345&amp;"")*(Rohdaten!$A$2:$A$19999&lt;&gt;""))</f>
        <v>#N/A</v>
      </c>
      <c r="G345" s="24"/>
    </row>
    <row r="346" spans="1:9" x14ac:dyDescent="0.25">
      <c r="C346" s="50" t="s">
        <v>355</v>
      </c>
      <c r="D346">
        <v>2</v>
      </c>
      <c r="E346" t="s">
        <v>389</v>
      </c>
      <c r="F346" s="4" t="e">
        <f>SUMPRODUCT((INDEX(Rohdaten!$A$2:$GG$19999,,MATCH(C346,Rohdaten!$1:$1,))&amp;""=D346&amp;"")*(Rohdaten!$A$2:$A$19999&lt;&gt;""))</f>
        <v>#N/A</v>
      </c>
      <c r="G346" s="24"/>
      <c r="H346" s="24"/>
    </row>
    <row r="347" spans="1:9" x14ac:dyDescent="0.25">
      <c r="C347" s="50" t="s">
        <v>355</v>
      </c>
      <c r="D347">
        <v>3</v>
      </c>
      <c r="E347" t="s">
        <v>387</v>
      </c>
      <c r="F347" s="4" t="e">
        <f>SUMPRODUCT((INDEX(Rohdaten!$A$2:$GG$19999,,MATCH(C347,Rohdaten!$1:$1,))&amp;""=D347&amp;"")*(Rohdaten!$A$2:$A$19999&lt;&gt;""))</f>
        <v>#N/A</v>
      </c>
    </row>
    <row r="348" spans="1:9" x14ac:dyDescent="0.25">
      <c r="E348" s="74" t="s">
        <v>418</v>
      </c>
      <c r="F348" s="4" t="e">
        <f>SUMPRODUCT((INDEX(Rohdaten!$A$2:$GG$19999,,MATCH(C344,Rohdaten!$1:$1,))&amp;""=D344&amp;"")*(INDEX(Rohdaten!$A$2:$GG$19999,,MATCH("year_of_exit",Rohdaten!$1:$1,))&gt;=2019)*(INDEX(Rohdaten!$A$2:$GG$19999,,MATCH("status_end_measure",Rohdaten!$1:$1,))=1))</f>
        <v>#N/A</v>
      </c>
      <c r="H348" s="47" t="s">
        <v>390</v>
      </c>
    </row>
    <row r="349" spans="1:9" x14ac:dyDescent="0.25">
      <c r="A349" s="84" t="s">
        <v>156</v>
      </c>
      <c r="B349" s="84" t="s">
        <v>279</v>
      </c>
      <c r="C349" s="84" t="s">
        <v>350</v>
      </c>
      <c r="D349" s="84"/>
      <c r="E349" s="84" t="s">
        <v>45</v>
      </c>
      <c r="F349" s="84" t="e">
        <f>SUMPRODUCT((INDEX(Rohdaten!$A$2:$GG$19999,,MATCH(C349,Rohdaten!$1:$1,))&amp;""=D349&amp;"")*(INDEX(Rohdaten!$A$2:$GG$19999,,MATCH("end_date",Rohdaten!$1:$1,))&lt;&gt;""))</f>
        <v>#N/A</v>
      </c>
      <c r="G349" s="85" t="e">
        <f>IF(MATCH(C349,$C:$C,0)=ROW(C349),SUM(F349:F352),"")</f>
        <v>#N/A</v>
      </c>
      <c r="H349" s="84" t="e">
        <f>CONCATENATE("[Filter: Falls Zielgruppe 'HDL-Qualifizierung' in 2 FP (n=",$F$143,")")</f>
        <v>#N/A</v>
      </c>
      <c r="I349" t="s">
        <v>379</v>
      </c>
    </row>
    <row r="350" spans="1:9" x14ac:dyDescent="0.25">
      <c r="C350" s="50" t="s">
        <v>350</v>
      </c>
      <c r="D350">
        <v>0</v>
      </c>
      <c r="E350" s="50" t="s">
        <v>46</v>
      </c>
      <c r="F350" s="4" t="e">
        <f>SUMPRODUCT((INDEX(Rohdaten!$A$2:$GG$19999,,MATCH(C350,Rohdaten!$1:$1,))&amp;""=D350&amp;"")*(Rohdaten!$A$2:$A$19999&lt;&gt;""))</f>
        <v>#N/A</v>
      </c>
      <c r="G350" s="24"/>
    </row>
    <row r="351" spans="1:9" x14ac:dyDescent="0.25">
      <c r="C351" s="50" t="s">
        <v>350</v>
      </c>
      <c r="D351">
        <v>1</v>
      </c>
      <c r="E351" t="s">
        <v>393</v>
      </c>
      <c r="F351" s="4" t="e">
        <f>SUMPRODUCT((INDEX(Rohdaten!$A$2:$GG$19999,,MATCH(C351,Rohdaten!$1:$1,))&amp;""=D351&amp;"")*(Rohdaten!$A$2:$A$19999&lt;&gt;""))</f>
        <v>#N/A</v>
      </c>
      <c r="G351" s="24"/>
    </row>
    <row r="352" spans="1:9" x14ac:dyDescent="0.25">
      <c r="C352" s="50" t="s">
        <v>350</v>
      </c>
      <c r="D352">
        <v>2</v>
      </c>
      <c r="E352" t="s">
        <v>281</v>
      </c>
      <c r="F352" s="4" t="e">
        <f>SUMPRODUCT((INDEX(Rohdaten!$A$2:$GG$19999,,MATCH(C352,Rohdaten!$1:$1,))&amp;""=D352&amp;"")*(Rohdaten!$A$2:$A$19999&lt;&gt;""))</f>
        <v>#N/A</v>
      </c>
    </row>
    <row r="353" spans="1:9" x14ac:dyDescent="0.25">
      <c r="A353" s="84" t="s">
        <v>166</v>
      </c>
      <c r="B353" s="84" t="s">
        <v>397</v>
      </c>
      <c r="C353" s="84" t="s">
        <v>354</v>
      </c>
      <c r="D353" s="84"/>
      <c r="E353" s="84" t="s">
        <v>45</v>
      </c>
      <c r="F353" s="84" t="e">
        <f>SUMPRODUCT((INDEX(Rohdaten!$A$2:$GG$19999,,MATCH(C353,Rohdaten!$1:$1,))&amp;""=D353&amp;"")*(INDEX(Rohdaten!$A$2:$GG$19999,,MATCH("end_date",Rohdaten!$1:$1,))&lt;&gt;""))</f>
        <v>#N/A</v>
      </c>
      <c r="G353" s="85" t="e">
        <f>IF(MATCH(C353,$C:$C,0)=ROW(C353),SUM(F353:F356),"")</f>
        <v>#N/A</v>
      </c>
      <c r="H353" s="84" t="e">
        <f>CONCATENATE("[Filter]: Austritt in der 2 Förderphase (n=",$F$316,")")</f>
        <v>#N/A</v>
      </c>
      <c r="I353" t="s">
        <v>379</v>
      </c>
    </row>
    <row r="354" spans="1:9" x14ac:dyDescent="0.25">
      <c r="C354" s="50" t="s">
        <v>354</v>
      </c>
      <c r="D354">
        <v>0</v>
      </c>
      <c r="E354" s="50" t="s">
        <v>46</v>
      </c>
      <c r="F354" s="4" t="e">
        <f>SUMPRODUCT((INDEX(Rohdaten!$A$2:$GG$19999,,MATCH(C354,Rohdaten!$1:$1,))&amp;""=D354&amp;"")*(Rohdaten!$A$2:$A$19999&lt;&gt;""))</f>
        <v>#N/A</v>
      </c>
      <c r="G354" s="24"/>
    </row>
    <row r="355" spans="1:9" x14ac:dyDescent="0.25">
      <c r="C355" s="50" t="s">
        <v>354</v>
      </c>
      <c r="D355">
        <v>1</v>
      </c>
      <c r="E355" t="s">
        <v>47</v>
      </c>
      <c r="F355" s="4" t="e">
        <f>SUMPRODUCT((INDEX(Rohdaten!$A$2:$GG$19999,,MATCH(C355,Rohdaten!$1:$1,))&amp;""=D355&amp;"")*(Rohdaten!$A$2:$A$19999&lt;&gt;""))</f>
        <v>#N/A</v>
      </c>
      <c r="G355" s="24"/>
    </row>
    <row r="356" spans="1:9" x14ac:dyDescent="0.25">
      <c r="C356" s="50" t="s">
        <v>354</v>
      </c>
      <c r="D356">
        <v>2</v>
      </c>
      <c r="E356" t="s">
        <v>396</v>
      </c>
      <c r="F356" s="4" t="e">
        <f>SUMPRODUCT((INDEX(Rohdaten!$A$2:$GG$19999,,MATCH(C356,Rohdaten!$1:$1,))&amp;""=D356&amp;"")*(Rohdaten!$A$2:$A$19999&lt;&gt;""))</f>
        <v>#N/A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  <pageSetup paperSize="9" orientation="portrait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  <pageSetup paperSize="9" orientation="portrait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Überblick</vt:lpstr>
      <vt:lpstr>ESF-Ausw</vt:lpstr>
      <vt:lpstr>PWE-Ausw</vt:lpstr>
      <vt:lpstr>Rohdaten</vt:lpstr>
      <vt:lpstr>Metadaten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Gregersen</dc:creator>
  <cp:lastModifiedBy>user</cp:lastModifiedBy>
  <cp:lastPrinted>2018-04-20T14:33:30Z</cp:lastPrinted>
  <dcterms:created xsi:type="dcterms:W3CDTF">2017-09-08T09:59:30Z</dcterms:created>
  <dcterms:modified xsi:type="dcterms:W3CDTF">2019-09-17T14:48:53Z</dcterms:modified>
</cp:coreProperties>
</file>